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6930" tabRatio="602" firstSheet="14" activeTab="18"/>
  </bookViews>
  <sheets>
    <sheet name="Parâmetros" sheetId="1" r:id="rId1"/>
    <sheet name="Projeções" sheetId="2" r:id="rId2"/>
    <sheet name="RCL" sheetId="3" r:id="rId3"/>
    <sheet name="Pessoal" sheetId="4" r:id="rId4"/>
    <sheet name="Dívida" sheetId="5" r:id="rId5"/>
    <sheet name="RPrim-Nom" sheetId="6" r:id="rId6"/>
    <sheet name="Metas Cons" sheetId="7" r:id="rId7"/>
    <sheet name="MetasRPPS" sheetId="8" r:id="rId8"/>
    <sheet name=" Avaliação" sheetId="9" r:id="rId9"/>
    <sheet name="Comparação" sheetId="10" r:id="rId10"/>
    <sheet name=" Patrimônio" sheetId="11" r:id="rId11"/>
    <sheet name=" Alienação" sheetId="12" r:id="rId12"/>
    <sheet name="RPPS-Fin-Atuarial" sheetId="13" r:id="rId13"/>
    <sheet name="Renúncia" sheetId="14" r:id="rId14"/>
    <sheet name="DOCC" sheetId="15" r:id="rId15"/>
    <sheet name="DOCC(alternativa)" sheetId="16" r:id="rId16"/>
    <sheet name="Anexo Riscos" sheetId="17" r:id="rId17"/>
    <sheet name="Anexo III - Metas e Prioridades" sheetId="18" r:id="rId18"/>
    <sheet name="Anexo IV - Cons do Patrimônio" sheetId="19" r:id="rId19"/>
    <sheet name="Planilia" sheetId="20" r:id="rId20"/>
    <sheet name="Plan1" sheetId="21" r:id="rId21"/>
  </sheets>
  <definedNames>
    <definedName name="_xlnm.Print_Area" localSheetId="0">'Parâmetros'!$A$7:$G$30</definedName>
    <definedName name="_xlnm.Print_Area" localSheetId="1">'Projeções'!$A$1:$AL$188</definedName>
    <definedName name="Z_16B3F100_CCE8_11D8_BD62_000C6E3CD3F1_.wvu.Cols" localSheetId="0" hidden="1">'Parâmetros'!$C:$C,'Parâmetros'!#REF!</definedName>
    <definedName name="Z_16B3F100_CCE8_11D8_BD62_000C6E3CD3F1_.wvu.Rows" localSheetId="4" hidden="1">'Dívida'!$23:$23,'Dívida'!#REF!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<sst xmlns="http://schemas.openxmlformats.org/spreadsheetml/2006/main" count="1048" uniqueCount="724">
  <si>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</si>
  <si>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</si>
  <si>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</si>
  <si>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</si>
  <si>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</si>
  <si>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</si>
  <si>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</si>
  <si>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</si>
  <si>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</si>
  <si>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</si>
  <si>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</si>
  <si>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</si>
  <si>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</si>
  <si>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</si>
  <si>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</si>
  <si>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</si>
  <si>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</si>
  <si>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</si>
  <si>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</si>
  <si>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</si>
  <si>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</si>
  <si>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</si>
  <si>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</si>
  <si>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</si>
  <si>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</si>
  <si>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</si>
  <si>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</si>
  <si>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</si>
  <si>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</si>
  <si>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</si>
  <si>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</si>
  <si>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</si>
  <si>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</si>
  <si>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</si>
  <si>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</si>
  <si>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</si>
  <si>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</si>
  <si>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</si>
  <si>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</si>
  <si>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</si>
  <si>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</si>
  <si>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</si>
  <si>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</si>
  <si>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</si>
  <si>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</si>
  <si>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</si>
  <si>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</si>
  <si>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</si>
  <si>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</si>
  <si>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</si>
  <si>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</si>
  <si>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</si>
  <si>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</si>
  <si>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</si>
  <si>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</si>
  <si>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</si>
  <si>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</si>
  <si>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</si>
  <si>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</si>
  <si>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</si>
  <si>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</si>
  <si>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</si>
  <si>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</si>
  <si>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</si>
  <si>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</si>
  <si>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</si>
  <si>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</si>
  <si>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</si>
  <si>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Despesa Total</t>
  </si>
  <si>
    <t xml:space="preserve"> Dívida Pública Consolidada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</si>
  <si>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</si>
  <si>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</si>
  <si>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</si>
  <si>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</si>
  <si>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</si>
  <si>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</si>
  <si>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</si>
  <si>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</si>
  <si>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</si>
  <si>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</si>
  <si>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</si>
  <si>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</si>
  <si>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</si>
  <si>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</si>
  <si>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</si>
  <si>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</si>
  <si>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</si>
  <si>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</si>
  <si>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</si>
  <si>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</si>
  <si>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</si>
  <si>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</si>
  <si>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</si>
  <si>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</si>
  <si>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</si>
  <si>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</si>
  <si>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</si>
  <si>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</si>
  <si>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</si>
  <si>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</si>
  <si>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</si>
  <si>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</si>
  <si>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</si>
  <si>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</si>
  <si>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</si>
  <si>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</si>
  <si>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</si>
  <si>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 xml:space="preserve">   Impacto de Novas DOCC</t>
  </si>
  <si>
    <t>Margem Líquida de Expansão de DOCC (III-IV)</t>
  </si>
  <si>
    <t>DEMONSTRATIVO DE RISCOS FISCAIS E PROVIDÊNCIAS</t>
  </si>
  <si>
    <t>PROVIDÊNCIAS</t>
  </si>
  <si>
    <t>Descrição</t>
  </si>
  <si>
    <t>I-Metas Previstas em</t>
  </si>
  <si>
    <t>II-Metas Realizadas em</t>
  </si>
  <si>
    <t>Valor (c) = (b-a)</t>
  </si>
  <si>
    <t>Variação %</t>
  </si>
  <si>
    <t>Variação%</t>
  </si>
  <si>
    <t>Despesas Primárias (II)</t>
  </si>
  <si>
    <t>Fonte:</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</si>
  <si>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</si>
  <si>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</si>
  <si>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</si>
  <si>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</si>
  <si>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</si>
  <si>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</si>
  <si>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</si>
  <si>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</si>
  <si>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</si>
  <si>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</si>
  <si>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</si>
  <si>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</si>
  <si>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</si>
  <si>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</si>
  <si>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</si>
  <si>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</si>
  <si>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</si>
  <si>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</si>
  <si>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</si>
  <si>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</si>
  <si>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</si>
  <si>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</si>
  <si>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</si>
  <si>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</si>
  <si>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</si>
  <si>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</si>
  <si>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</si>
  <si>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</si>
  <si>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</si>
  <si>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</si>
  <si>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</si>
  <si>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</si>
  <si>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</si>
  <si>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</si>
  <si>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</si>
  <si>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</si>
  <si>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</si>
  <si>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</si>
  <si>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</si>
  <si>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</si>
  <si>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</si>
  <si>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</si>
  <si>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</si>
  <si>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</si>
  <si>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</si>
  <si>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</si>
  <si>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</si>
  <si>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</si>
  <si>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</si>
  <si>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</si>
  <si>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</si>
  <si>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</si>
  <si>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</si>
  <si>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</si>
  <si>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</si>
  <si>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</si>
  <si>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</si>
  <si>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</si>
  <si>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9.9.99.99.99.99.01</t>
  </si>
  <si>
    <t>9.9.99.99.99.99.02</t>
  </si>
  <si>
    <t>ANEXO  III -  METAS E PRIORIDADES</t>
  </si>
  <si>
    <t xml:space="preserve">PROGRAMA: </t>
  </si>
  <si>
    <t xml:space="preserve">OBJETIVO: </t>
  </si>
  <si>
    <t>TIPO (*)</t>
  </si>
  <si>
    <t>Ação</t>
  </si>
  <si>
    <t>Unidade de Medida</t>
  </si>
  <si>
    <t>Produto</t>
  </si>
  <si>
    <t>Meta Física</t>
  </si>
  <si>
    <r>
      <t>TOTAL DO PROGRAMA   =======================================</t>
    </r>
    <r>
      <rPr>
        <b/>
        <sz val="9"/>
        <rFont val="Wingdings"/>
        <family val="0"/>
      </rPr>
      <t>è</t>
    </r>
  </si>
  <si>
    <t xml:space="preserve">(*)  Tipo:  P – Projeto       A - Atividade </t>
  </si>
  <si>
    <t xml:space="preserve">OE – Operação Especial      NO – Não-orçamentária            </t>
  </si>
  <si>
    <t>ANEXO IV</t>
  </si>
  <si>
    <t xml:space="preserve">RELATÓRIO SOBRE PROJETOS EM EXECUÇÃO E A EXECUTAR   E DESPESAS COM CONSERVAÇÃO DO PATRIMÔNIO PÚBLICO </t>
  </si>
  <si>
    <t>(Art. 45 da LRF)</t>
  </si>
  <si>
    <t>EXECUÇÃO %</t>
  </si>
  <si>
    <t>IDENTIFICAÇÃO DAS AÇÕES</t>
  </si>
  <si>
    <t>INÍCIO DA EXECUÇÃO</t>
  </si>
  <si>
    <t>VALOR DO PROJETO</t>
  </si>
  <si>
    <t>PROJETOS EM EXECUÇÃO</t>
  </si>
  <si>
    <t>NOVOS PROJETOS</t>
  </si>
  <si>
    <t>Total dos Recursos a Priorizar</t>
  </si>
  <si>
    <t xml:space="preserve">Pessoal  do  R P P S </t>
  </si>
  <si>
    <t xml:space="preserve">Juros e encargos da Dívida RPPS </t>
  </si>
  <si>
    <t>CONSERVAÇÃO DO PATRIMÔNIO</t>
  </si>
  <si>
    <t>Fonte: Sistema &lt;Nome&gt;, Unidade Responsável &lt;Nome&gt;, Data da emissão &lt;dd/mmm/aaaa&gt; e hora de emissão &lt;hhh e mmm&gt;</t>
  </si>
  <si>
    <t> FONTE: Sistema &lt;Nome&gt;, Unidade Responsável &lt;Nome&gt;, Data da emissão &lt;dd/mmm/aaaa&gt; e hora de emissão &lt;hhh e mmm&gt;</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</si>
  <si>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</si>
  <si>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</si>
  <si>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</si>
  <si>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</si>
  <si>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</si>
  <si>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</si>
  <si>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</si>
  <si>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</si>
  <si>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</si>
  <si>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</si>
  <si>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</si>
  <si>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</si>
  <si>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</si>
  <si>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</si>
  <si>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</si>
  <si>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</si>
  <si>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1.2.1.0.04.0.0.00.00.00</t>
  </si>
  <si>
    <t>1.2.1.0.06.0.0.00.00.00</t>
  </si>
  <si>
    <t>Contribuição para os Fundos de Assistência Médica</t>
  </si>
  <si>
    <t>1.2.1.0.99.0.0.00.00.00</t>
  </si>
  <si>
    <t>Outras Contribuições Sociais</t>
  </si>
  <si>
    <t>1.2.1.8.00.0.0.00.00.00</t>
  </si>
  <si>
    <t>Contribuições Sociais específicas de Estados, DF, Municípios</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</si>
  <si>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</si>
  <si>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</si>
  <si>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</si>
  <si>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</si>
  <si>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</si>
  <si>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</si>
  <si>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</si>
  <si>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</si>
  <si>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</si>
  <si>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</si>
  <si>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</si>
  <si>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</si>
  <si>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</si>
  <si>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</si>
  <si>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</si>
  <si>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</si>
  <si>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</si>
  <si>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</si>
  <si>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</si>
  <si>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</si>
  <si>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</si>
  <si>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</si>
  <si>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</si>
  <si>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</si>
  <si>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</si>
  <si>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</si>
  <si>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</si>
  <si>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</si>
  <si>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</si>
  <si>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</si>
  <si>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</si>
  <si>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</si>
  <si>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</si>
  <si>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</si>
  <si>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</si>
  <si>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</si>
  <si>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</si>
  <si>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</si>
  <si>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</si>
  <si>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</si>
  <si>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</si>
  <si>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</si>
  <si>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</si>
  <si>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</si>
  <si>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</si>
  <si>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</si>
  <si>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</si>
  <si>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</si>
  <si>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</si>
  <si>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</si>
  <si>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</si>
  <si>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</si>
  <si>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</si>
  <si>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</si>
  <si>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</si>
  <si>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</si>
  <si>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</si>
  <si>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</si>
  <si>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</si>
  <si>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</si>
  <si>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</si>
  <si>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</si>
  <si>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</si>
  <si>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</si>
  <si>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</si>
  <si>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</si>
  <si>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</si>
  <si>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</si>
  <si>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</si>
  <si>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</si>
  <si>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</si>
  <si>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</si>
  <si>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</si>
  <si>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</si>
  <si>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</si>
  <si>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</si>
  <si>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</si>
  <si>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</si>
  <si>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</si>
  <si>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</si>
  <si>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</si>
  <si>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</si>
  <si>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</si>
  <si>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</si>
  <si>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</si>
  <si>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</si>
  <si>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</si>
  <si>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</si>
  <si>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</si>
  <si>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</si>
  <si>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</si>
  <si>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</si>
  <si>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</si>
  <si>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</si>
  <si>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</si>
  <si>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</si>
  <si>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</si>
  <si>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</si>
  <si>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</si>
  <si>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</si>
  <si>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</si>
  <si>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</si>
  <si>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</si>
  <si>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</si>
  <si>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</si>
  <si>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</si>
  <si>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</si>
  <si>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</si>
  <si>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</si>
  <si>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</si>
  <si>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</si>
  <si>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</si>
  <si>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</si>
  <si>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</si>
  <si>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</si>
  <si>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</si>
  <si>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</si>
  <si>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</si>
  <si>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</si>
  <si>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</si>
  <si>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</si>
  <si>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</si>
  <si>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</si>
  <si>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</si>
  <si>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</si>
  <si>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</si>
  <si>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</si>
  <si>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</si>
  <si>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</si>
  <si>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</si>
  <si>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</si>
  <si>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</si>
  <si>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</si>
  <si>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</si>
  <si>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</si>
  <si>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</si>
  <si>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</si>
  <si>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</si>
  <si>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</si>
  <si>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</si>
  <si>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</si>
  <si>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</si>
  <si>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</si>
  <si>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</si>
  <si>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</si>
  <si>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</si>
  <si>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</si>
  <si>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</si>
  <si>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</si>
  <si>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</si>
  <si>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</si>
  <si>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</si>
  <si>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 RCL</t>
  </si>
  <si>
    <t>II - DEDUÇÕES</t>
  </si>
  <si>
    <t>Contribuições Previdenciárias do Regime Próprio</t>
  </si>
  <si>
    <t>Compensação Financeira entre Regimes</t>
  </si>
  <si>
    <t>III - (+) Ajuste Perdas com o Fundeb</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</si>
  <si>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</si>
  <si>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</si>
  <si>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</si>
  <si>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</si>
  <si>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</si>
  <si>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</si>
  <si>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</si>
  <si>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</si>
  <si>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</si>
  <si>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</si>
  <si>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AMF - Demonstrativo 6 (LRF, art. 4º, § 2º, inciso IV, alínea "a")</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</si>
  <si>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</si>
  <si>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</si>
  <si>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</si>
  <si>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</si>
  <si>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</si>
  <si>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</si>
  <si>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</si>
  <si>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</si>
  <si>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</si>
  <si>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</si>
  <si>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Receitas Imobiliárias</t>
  </si>
  <si>
    <t>Receitas de Valores Mobiliários</t>
  </si>
  <si>
    <t>Outras Receitas Patrimoniais</t>
  </si>
  <si>
    <t>Compensação Previdenciária do RGPS para o RPPS</t>
  </si>
  <si>
    <t>Alienação de Bens, Direitos e Ativos</t>
  </si>
  <si>
    <t>DESPESAS PREVIDENCIÁRIAS - RPPS</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</si>
  <si>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</si>
  <si>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</si>
  <si>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</si>
  <si>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</si>
  <si>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</si>
  <si>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</si>
  <si>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</si>
  <si>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</si>
  <si>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</si>
  <si>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</si>
  <si>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</si>
  <si>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</si>
  <si>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</si>
  <si>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</si>
  <si>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</si>
  <si>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</si>
  <si>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</si>
  <si>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</si>
  <si>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</si>
  <si>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PLANO FINANCEIRO</t>
  </si>
  <si>
    <t>Receita de Contribuições dos Segurados</t>
  </si>
  <si>
    <t>Receita de Contribuições Patronais</t>
  </si>
  <si>
    <t xml:space="preserve">Aposentadorias </t>
  </si>
  <si>
    <t>APORTES DE RECURSOS PARA O PLANO FINANCEIRO DO RRPS</t>
  </si>
  <si>
    <t>Recursos para Cobertura de Insuficiências Financeiras</t>
  </si>
  <si>
    <t>Recursos para Formação de Reserva</t>
  </si>
  <si>
    <t>PROJEÇÃO ATUARIAL DO REGIME PRÓPRIO DE PREVIDÊNCIA DOS SERVIDORES</t>
  </si>
  <si>
    <t>FONTE: Sistema &lt;sistema&gt;, Unidade Responsável: &lt;Unidade Responsável&gt;. Emissão: &lt;dd/mm/aaaa&gt;, às &lt;hh:mm:ss&gt;. Assinado Digitalmente no dia &lt;dd/mm/aaaa&gt;, às &lt;hh:mm:ss&gt;.</t>
  </si>
  <si>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</si>
  <si>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</si>
  <si>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</si>
  <si>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</si>
  <si>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</si>
  <si>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</si>
  <si>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</si>
  <si>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</si>
  <si>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</si>
  <si>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</si>
  <si>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</si>
  <si>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METAS ANUAIS - RPPS</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</si>
  <si>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</si>
  <si>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</si>
  <si>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</si>
  <si>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</si>
  <si>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</si>
  <si>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</si>
  <si>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</si>
  <si>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</si>
  <si>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</si>
  <si>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</si>
  <si>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</si>
  <si>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</si>
  <si>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</si>
  <si>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</si>
  <si>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</si>
  <si>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</si>
  <si>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</si>
  <si>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</si>
  <si>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</si>
  <si>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</si>
  <si>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</si>
  <si>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</si>
  <si>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</si>
  <si>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</si>
  <si>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</si>
  <si>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</si>
  <si>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</si>
  <si>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</si>
  <si>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</si>
  <si>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</si>
  <si>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</si>
  <si>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</si>
  <si>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</si>
  <si>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</si>
  <si>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</si>
  <si>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</si>
  <si>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</si>
  <si>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</si>
  <si>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</si>
  <si>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</si>
  <si>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</si>
  <si>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</si>
  <si>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</si>
  <si>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</si>
  <si>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</si>
  <si>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</si>
  <si>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</si>
  <si>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</si>
  <si>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</si>
  <si>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</si>
  <si>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</si>
  <si>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</si>
  <si>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</si>
  <si>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Pagamento</t>
  </si>
  <si>
    <t>Pagto Estimado</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</si>
  <si>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</si>
  <si>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</si>
  <si>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</si>
  <si>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</si>
  <si>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</si>
  <si>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</si>
  <si>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</si>
  <si>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</si>
  <si>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</si>
  <si>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</si>
  <si>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</si>
  <si>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</si>
  <si>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</si>
  <si>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</si>
  <si>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</si>
  <si>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</si>
  <si>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</si>
  <si>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</si>
  <si>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SOMA  DOS JUROS E ENCARGOS ATIVOS  (VIII)</t>
  </si>
  <si>
    <t>JUROS E ENCARGOS PASSIVOS (Variações Patrimoniais Diminutivas)</t>
  </si>
  <si>
    <t>SOMA  DOS JUROS E ENCARGOS PASSIVOS (IX)</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</si>
  <si>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</si>
  <si>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</si>
  <si>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</si>
  <si>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</si>
  <si>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</si>
  <si>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</si>
  <si>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</si>
  <si>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</si>
  <si>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</si>
  <si>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</si>
  <si>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</si>
  <si>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</si>
  <si>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</si>
  <si>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</si>
  <si>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</si>
  <si>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</si>
  <si>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</si>
  <si>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RESULTADO NOMINAL  -  ACIMA DA LINHA (X = VII + VIII - IX))</t>
  </si>
  <si>
    <t>Lucros ou Prejuízos Acumulados</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</si>
  <si>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</si>
  <si>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</si>
  <si>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</si>
  <si>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</si>
  <si>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</si>
  <si>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</si>
  <si>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</si>
  <si>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</si>
  <si>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</si>
  <si>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</si>
  <si>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</si>
  <si>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</si>
  <si>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</si>
  <si>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</si>
  <si>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</si>
  <si>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</si>
  <si>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</si>
  <si>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</si>
  <si>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</si>
  <si>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</si>
  <si>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</si>
  <si>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</si>
  <si>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</si>
  <si>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</si>
  <si>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</si>
  <si>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</si>
  <si>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</si>
  <si>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</si>
  <si>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</si>
  <si>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</si>
  <si>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</si>
  <si>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</si>
  <si>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</si>
  <si>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</si>
  <si>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</si>
  <si>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 xml:space="preserve">   </t>
  </si>
  <si>
    <t>RECEITAS DE CAPITAL</t>
  </si>
  <si>
    <t xml:space="preserve">    ALIENAÇÃO DE ATIVOS </t>
  </si>
  <si>
    <t xml:space="preserve">        Alienação de Bens Intangíveis</t>
  </si>
  <si>
    <t xml:space="preserve">TOTAL </t>
  </si>
  <si>
    <t>APLICAÇÃO DOS RECURSOS DA ALIENAÇÃO DE ATIVOS</t>
  </si>
  <si>
    <r>
      <rPr>
        <b/>
        <sz val="9"/>
        <color indexed="10"/>
        <rFont val="Arial"/>
        <family val="2"/>
      </rPr>
      <t xml:space="preserve">TABELA  01 </t>
    </r>
    <r>
      <rPr>
        <b/>
        <sz val="9"/>
        <rFont val="Arial"/>
        <family val="2"/>
      </rPr>
      <t>- Parâmentos Utilizados nas Estimativas das Receitas e Despesas</t>
    </r>
  </si>
  <si>
    <r>
      <rPr>
        <b/>
        <sz val="12"/>
        <color indexed="10"/>
        <rFont val="Arial"/>
        <family val="2"/>
      </rPr>
      <t xml:space="preserve">Tabela 02 </t>
    </r>
    <r>
      <rPr>
        <b/>
        <sz val="12"/>
        <rFont val="Arial"/>
        <family val="2"/>
      </rPr>
      <t>- Memória de Cálculo das Estimativas das Receitas</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</si>
  <si>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</si>
  <si>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</si>
  <si>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r>
      <t>Memória de Cálculo das Estimativas de</t>
    </r>
    <r>
      <rPr>
        <b/>
        <sz val="12"/>
        <color indexed="10"/>
        <rFont val="Arial"/>
        <family val="2"/>
      </rPr>
      <t xml:space="preserve"> Pagamento das Despesas</t>
    </r>
    <r>
      <rPr>
        <b/>
        <sz val="12"/>
        <rFont val="Arial"/>
        <family val="2"/>
      </rPr>
      <t xml:space="preserve"> - Inclusive Restos a Pagar</t>
    </r>
  </si>
  <si>
    <t>Preenchimento opcional cfe. Item 02.01.03.01 da 10ª edição do MDF</t>
  </si>
  <si>
    <t>Inflação para 2023:</t>
  </si>
  <si>
    <t>Taxa de Câmbio (Média do Ano)</t>
  </si>
  <si>
    <r>
      <t xml:space="preserve">Receitas Correntes Intraorçamentárias </t>
    </r>
    <r>
      <rPr>
        <b/>
        <sz val="10"/>
        <color indexed="10"/>
        <rFont val="Arial"/>
        <family val="2"/>
      </rPr>
      <t>-RPPS</t>
    </r>
  </si>
  <si>
    <r>
      <t xml:space="preserve">Receitas Correntes Intraorçamentárias </t>
    </r>
    <r>
      <rPr>
        <b/>
        <sz val="10"/>
        <color indexed="10"/>
        <rFont val="Arial"/>
        <family val="2"/>
      </rPr>
      <t>- Outras</t>
    </r>
  </si>
  <si>
    <r>
      <t xml:space="preserve">Receitas de Capital Intraorçamentárias </t>
    </r>
    <r>
      <rPr>
        <b/>
        <sz val="10"/>
        <color indexed="10"/>
        <rFont val="Arial"/>
        <family val="2"/>
      </rPr>
      <t>- RPPS</t>
    </r>
  </si>
  <si>
    <r>
      <t xml:space="preserve">Receitas de Capital Intraorçamentárias </t>
    </r>
    <r>
      <rPr>
        <b/>
        <sz val="10"/>
        <color indexed="10"/>
        <rFont val="Arial"/>
        <family val="2"/>
      </rPr>
      <t>- Outras</t>
    </r>
  </si>
  <si>
    <t>RESERVA DE CONTINGÊNCIA - PREVISÃO (VII)</t>
  </si>
  <si>
    <t>DESPESAS PRIMÁRIAS ANTES DA RESERVA DE CONTINGÊNCIA (VI = IV + V)</t>
  </si>
  <si>
    <t>DESPESAS PRIMÁRIAS APÓS A RESERVA DE CONTINGÊNCIA (VIII = VI+ VII)</t>
  </si>
  <si>
    <t>META DE RESULTADO PRIMÁRIO A SER CONSIDERADA (IX = III - VIII)</t>
  </si>
  <si>
    <t>1.7.1.8.99.0.0.00.00.00</t>
  </si>
  <si>
    <t>Outras Transferências da União</t>
  </si>
  <si>
    <r>
      <t xml:space="preserve">Remuneração dos Recursos do Regime Próprio de Previdência Social - RPPS  </t>
    </r>
    <r>
      <rPr>
        <sz val="10"/>
        <color indexed="10"/>
        <rFont val="Arial"/>
        <family val="2"/>
      </rPr>
      <t>(Valor Líquido Arrecadado)</t>
    </r>
  </si>
  <si>
    <r>
      <t xml:space="preserve">Demais Dedu.da Receita Corrente - </t>
    </r>
    <r>
      <rPr>
        <b/>
        <sz val="10"/>
        <color indexed="10"/>
        <rFont val="Arial"/>
        <family val="2"/>
      </rPr>
      <t>Exceto Rend Negativo do RPPS</t>
    </r>
    <r>
      <rPr>
        <sz val="10"/>
        <rFont val="Arial"/>
        <family val="2"/>
      </rPr>
      <t xml:space="preserve"> </t>
    </r>
    <r>
      <rPr>
        <sz val="10"/>
        <color indexed="10"/>
        <rFont val="Arial"/>
        <family val="2"/>
      </rPr>
      <t xml:space="preserve"> (digitar com sinal negativo)</t>
    </r>
  </si>
  <si>
    <r>
      <rPr>
        <b/>
        <sz val="10"/>
        <color indexed="10"/>
        <rFont val="Arial"/>
        <family val="2"/>
      </rPr>
      <t>Tabela 03 -</t>
    </r>
    <r>
      <rPr>
        <b/>
        <sz val="10"/>
        <color indexed="8"/>
        <rFont val="Arial"/>
        <family val="2"/>
      </rPr>
      <t xml:space="preserve"> Estimativas para a Receita Corrente Líquida</t>
    </r>
  </si>
  <si>
    <t>IV - RECEITA CORRENTE LÍQUIDA PREVISTA (I-II+III)</t>
  </si>
  <si>
    <r>
      <rPr>
        <b/>
        <sz val="11"/>
        <color indexed="10"/>
        <rFont val="Arial"/>
        <family val="2"/>
      </rPr>
      <t>Tabela 04 -</t>
    </r>
    <r>
      <rPr>
        <b/>
        <sz val="11"/>
        <color indexed="8"/>
        <rFont val="Arial"/>
        <family val="2"/>
      </rPr>
      <t xml:space="preserve"> Estimativa de Limites de Gastos com Pessoal do Poder Executivo e Legislativo para o período de 2022 a 2024</t>
    </r>
  </si>
  <si>
    <t>EXERCÍCIO DE 2022</t>
  </si>
  <si>
    <t xml:space="preserve"> EXERCÍCIO DE 2022</t>
  </si>
  <si>
    <t>Valor Previsto 2022</t>
  </si>
  <si>
    <t>LEI DE DIRETRIZES ORÇAMENTÁRIAS - 2022</t>
  </si>
  <si>
    <t>ATÉ EXERC ANTERIOR - 2020</t>
  </si>
  <si>
    <t>NO EXERCÍCIO DE 2021</t>
  </si>
  <si>
    <t>A EXECUTAR EM 2022</t>
  </si>
  <si>
    <t>RECURSOS PRIORIZADOS PARA 2022</t>
  </si>
  <si>
    <t>LEI DE DIRETRIZES ORÇAMENTÁRIAS – 2022</t>
  </si>
  <si>
    <t>Preenchimento Opcional Cfe. Item 02.01.03.01 da 11ª Edição do MDF</t>
  </si>
  <si>
    <t>Preenchimento Opcional Cfe 11ª Edição do MDF</t>
  </si>
  <si>
    <t>METAS ANUAIS</t>
  </si>
  <si>
    <t>(a / RCL)</t>
  </si>
  <si>
    <t>(b / RCL)</t>
  </si>
  <si>
    <t>(c / RCL)</t>
  </si>
  <si>
    <t xml:space="preserve"> Receita Total</t>
  </si>
  <si>
    <t xml:space="preserve"> Receitas Primárias (I)</t>
  </si>
  <si>
    <t xml:space="preserve"> Receitas Primárias Correntes</t>
  </si>
  <si>
    <t xml:space="preserve"> Impostos, Taxas e Contribuições de Melhoria</t>
  </si>
  <si>
    <t xml:space="preserve"> Contribuições</t>
  </si>
  <si>
    <t xml:space="preserve"> Transferências Correntes</t>
  </si>
  <si>
    <t xml:space="preserve"> Demais Receitas Primárias Correntes</t>
  </si>
  <si>
    <t xml:space="preserve"> Receitas Primárias de Capital</t>
  </si>
  <si>
    <t xml:space="preserve"> Pessoal e Encargos Sociais</t>
  </si>
  <si>
    <t xml:space="preserve"> Despesas Primárias de Capital</t>
  </si>
  <si>
    <t xml:space="preserve"> Pagamento de Restos a Pagar de Despesas Primárias</t>
  </si>
  <si>
    <t xml:space="preserve"> Resultado Primário (III) = (I – II)</t>
  </si>
  <si>
    <t xml:space="preserve"> Juros, Encargos e Variações Monetárias Ativos (IV)</t>
  </si>
  <si>
    <t xml:space="preserve"> Juros, Encargos e Variações Monetárias Passivos (V)</t>
  </si>
  <si>
    <t xml:space="preserve"> Resultado Nominal - (VI) = (III + (IV - V))</t>
  </si>
  <si>
    <t xml:space="preserve"> Dívida Consolidada Líquida</t>
  </si>
  <si>
    <t>Receitas Primárias advindas de PPP (VII)</t>
  </si>
  <si>
    <t>Despesas Primárias geradas por PPP (VIII)</t>
  </si>
  <si>
    <t>Impacto do saldo das PPPs (IX) = (VII - VIII)</t>
  </si>
  <si>
    <t>FONTE: Sistema &lt;Nome&gt;, Unidade Responsável &lt;Nome&gt;, Data da emissão &lt;dd/mmm/aaaa&gt; e hora de emissão &lt;hhh e mmm&gt;</t>
  </si>
  <si>
    <t xml:space="preserve"> Outras Despesas Correntes (Primárias)</t>
  </si>
  <si>
    <t>RECEITAS E DESPESAS PREVIDENCIÁRIAS DO REGIME PRÓPRIO DE PREVIDÊNCIA DOS SERVIDORES</t>
  </si>
  <si>
    <t>RECEITAS DE CAPITAL (III)</t>
  </si>
  <si>
    <t>TOTAL DAS RECEITAS PREVIDENCIÁRIAS RPPS - (IV) = (I + III - II)</t>
  </si>
  <si>
    <t>TOTAL DAS DESPESAS PREVIDENCIÁRIAS RPPS (V)</t>
  </si>
  <si>
    <t>RECEITAS CORRENTES (VII)</t>
  </si>
  <si>
    <t>RECEITAS DE CAPITAL (VIII)</t>
  </si>
  <si>
    <t>TOTAL DAS RECEITAS PREVIDENCIÁRIAS RPPS - (IX) = (VII + VIII)</t>
  </si>
  <si>
    <t>TOTAL DAS DESPESAS PREVIDENCIÁRIAS RPPS (X)</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</si>
  <si>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</si>
  <si>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</si>
  <si>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</si>
  <si>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</si>
  <si>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</si>
  <si>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</si>
  <si>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</si>
  <si>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</si>
  <si>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t>Receitas
Previdenciárias</t>
  </si>
  <si>
    <t xml:space="preserve">Resultado
Previdenciário
</t>
  </si>
  <si>
    <t xml:space="preserve">Saldo Financeiro 
do Exercício
</t>
  </si>
  <si>
    <t xml:space="preserve"> (a)</t>
  </si>
  <si>
    <t>(c) = (a-b)</t>
  </si>
  <si>
    <t>(d) = (d Exercício Anterior) + (c)</t>
  </si>
  <si>
    <t>NOTA:</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</si>
  <si>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</si>
  <si>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</si>
  <si>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r>
      <t>Aportes Periódicos para Amortização de Déficit Atuarial do RPPS (II)</t>
    </r>
    <r>
      <rPr>
        <vertAlign val="superscript"/>
        <sz val="10"/>
        <rFont val="Calibri"/>
        <family val="2"/>
      </rPr>
      <t>1</t>
    </r>
  </si>
  <si>
    <r>
      <t>RESULTADO PREVIDENCIÁRIO (VI) = (IV – V)</t>
    </r>
    <r>
      <rPr>
        <b/>
        <vertAlign val="superscript"/>
        <sz val="10"/>
        <rFont val="Calibri"/>
        <family val="2"/>
      </rPr>
      <t>2</t>
    </r>
  </si>
  <si>
    <r>
      <t>RESULTADO PREVIDENCIÁRIO (XI) = (IX – X)</t>
    </r>
    <r>
      <rPr>
        <b/>
        <vertAlign val="superscript"/>
        <sz val="10"/>
        <rFont val="Calibri"/>
        <family val="2"/>
      </rPr>
      <t>2</t>
    </r>
  </si>
  <si>
    <t xml:space="preserve">Despesas
Previdenciárias
</t>
  </si>
  <si>
    <r>
      <t xml:space="preserve">Pessoal   - </t>
    </r>
    <r>
      <rPr>
        <b/>
        <sz val="12"/>
        <color indexed="10"/>
        <rFont val="Arial"/>
        <family val="2"/>
      </rPr>
      <t>Restos a Pagar Pagos</t>
    </r>
  </si>
  <si>
    <r>
      <t xml:space="preserve">Juros e encargos da Dívida - </t>
    </r>
    <r>
      <rPr>
        <b/>
        <sz val="12"/>
        <color indexed="10"/>
        <rFont val="Arial"/>
        <family val="2"/>
      </rPr>
      <t xml:space="preserve">Restos a Pagar Pagos </t>
    </r>
  </si>
  <si>
    <r>
      <t>Outras Despesas Correntes  -</t>
    </r>
    <r>
      <rPr>
        <b/>
        <sz val="12"/>
        <color indexed="10"/>
        <rFont val="Arial"/>
        <family val="2"/>
      </rPr>
      <t xml:space="preserve"> Restos a Pagar Pagos</t>
    </r>
  </si>
  <si>
    <t xml:space="preserve">Investimentos  RPPS </t>
  </si>
  <si>
    <r>
      <t xml:space="preserve">Investimentos  - </t>
    </r>
    <r>
      <rPr>
        <b/>
        <sz val="12"/>
        <color indexed="10"/>
        <rFont val="Arial"/>
        <family val="2"/>
      </rPr>
      <t>INTRAORÇAMENTÁRIAS</t>
    </r>
  </si>
  <si>
    <r>
      <t xml:space="preserve">Investimentos  - </t>
    </r>
    <r>
      <rPr>
        <b/>
        <sz val="12"/>
        <color indexed="10"/>
        <rFont val="Arial"/>
        <family val="2"/>
      </rPr>
      <t>Restos a Pagar Pagos</t>
    </r>
  </si>
  <si>
    <r>
      <t xml:space="preserve">Outras Inversões Financeiras - </t>
    </r>
    <r>
      <rPr>
        <b/>
        <sz val="12"/>
        <color indexed="10"/>
        <rFont val="Arial"/>
        <family val="2"/>
      </rPr>
      <t>Restos a a  Pagar Pagos</t>
    </r>
  </si>
  <si>
    <r>
      <t xml:space="preserve">Amortização da Dívida  - </t>
    </r>
    <r>
      <rPr>
        <b/>
        <sz val="12"/>
        <color indexed="10"/>
        <rFont val="Arial"/>
        <family val="2"/>
      </rPr>
      <t>Restos a Pagar Pagos</t>
    </r>
  </si>
  <si>
    <t>Reserva de Contingência (II-a)</t>
  </si>
  <si>
    <t xml:space="preserve"> Despesas Primárias Correntes</t>
  </si>
  <si>
    <t xml:space="preserve"> Despesas Primárias (II + IIa)</t>
  </si>
  <si>
    <t>SALDOS DE EXERCÍCIOS ANTERIORES A 2018</t>
  </si>
  <si>
    <t>2 - Os valores da renúncia projetados para 2023 e 2024, foram calculados a partir dos valores de 2022, apli</t>
  </si>
  <si>
    <t>Inflação para 2024:</t>
  </si>
  <si>
    <t>Obs:  1 -   Os valores da renúncia para 2022 foram previstos de acordo com informações da Administração tributária</t>
  </si>
  <si>
    <t>1.7.1.8.12.0.0.00.00.00</t>
  </si>
  <si>
    <t>2.1.1.8.00.0.0.00.00.00.</t>
  </si>
  <si>
    <t>2.1.1.8.01.0.0.00.00.00</t>
  </si>
  <si>
    <t>Operações de Crédito Internas de Estados/DF/Municípios</t>
  </si>
  <si>
    <t>Operações de Crédito - Mercado Interno - Estados/DF/Municípios</t>
  </si>
  <si>
    <t xml:space="preserve">Aumento na arrecadação Tributária </t>
  </si>
  <si>
    <t>Contingênciamento da Despesa Pública</t>
  </si>
  <si>
    <t>IPTU</t>
  </si>
  <si>
    <t>1.7.1.8.05.9.0.00.00.00</t>
  </si>
  <si>
    <t>Outras Transferências Diretas do FNDE</t>
  </si>
  <si>
    <t>1.7.1.8.05.9.1.00.00.00</t>
  </si>
  <si>
    <t>Outras Transferências Diretas</t>
  </si>
  <si>
    <t>Reforma na EMEF Manoel Imas dos Santos</t>
  </si>
  <si>
    <t>Reforma na EMEF 22 de Outubro</t>
  </si>
  <si>
    <t>Reforma da Rede Elétrica na EMEF 22 de Outubro</t>
  </si>
  <si>
    <t>Construção do Galpão de Transbordo</t>
  </si>
  <si>
    <t>Ampliação da EMEF Manoel Imas  dos Santos</t>
  </si>
  <si>
    <t>Valor da Receita Corrente Líquida de 2021</t>
  </si>
  <si>
    <t xml:space="preserve">         AVALIAÇÃO DO CUMPRIMENTO DAS METAS FISCAIS   DO EXERCÍCIO ANTERIOR                            </t>
  </si>
  <si>
    <t>2021 (b)</t>
  </si>
  <si>
    <t>Geral</t>
  </si>
  <si>
    <t>Divida Ativa Tributária</t>
  </si>
  <si>
    <t>Divida Ativa  Não Tributária</t>
  </si>
  <si>
    <t>Desconto do bom pagador</t>
  </si>
  <si>
    <t>Refiz</t>
  </si>
  <si>
    <t>LEI DE DIRETRIZES ORÇAMENTÁRIAS  PARA 2023</t>
  </si>
  <si>
    <t>LEI DE DIRETRIZES ORÇAMENTÁRIAS PARA 2023</t>
  </si>
  <si>
    <t>EXERCÍCIO DE 2023</t>
  </si>
  <si>
    <t>Município de Barra do Quaraí</t>
  </si>
  <si>
    <t>MUNICÍPIO DE BARRA DO QUARAÍ</t>
  </si>
  <si>
    <t>Apuração Conforme a Instrução Normativa nº 18/2021, do TCE/RS</t>
  </si>
  <si>
    <t>Lei de Diretrizes Orçamentárias para o Exercício de 2023</t>
  </si>
  <si>
    <t>Valor Previsto 2023</t>
  </si>
</sst>
</file>

<file path=xl/styles.xml><?xml version="1.0" encoding="utf-8"?>
<styleSheet xmlns="http://schemas.openxmlformats.org/spreadsheetml/2006/main">
  <numFmts count="5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_);[Red]\(0\)"/>
    <numFmt numFmtId="191" formatCode="#,##0.0"/>
    <numFmt numFmtId="192" formatCode="mmm\-yy"/>
    <numFmt numFmtId="193" formatCode="d/m"/>
    <numFmt numFmtId="194" formatCode="d/m/yy"/>
    <numFmt numFmtId="195" formatCode="mmmm\-yy"/>
    <numFmt numFmtId="196" formatCode="d\-mmm"/>
    <numFmt numFmtId="197" formatCode="0.0"/>
    <numFmt numFmtId="198" formatCode="0.000"/>
    <numFmt numFmtId="199" formatCode="\ @"/>
    <numFmt numFmtId="200" formatCode="\ \ \ \ @"/>
    <numFmt numFmtId="201" formatCode="\ \ \ \ \ @"/>
    <numFmt numFmtId="202" formatCode="\ \ \ \ \ \ \ \ \ \ \ \ \ \ \ @"/>
    <numFmt numFmtId="203" formatCode="0.000%"/>
    <numFmt numFmtId="204" formatCode="[$-416]dddd\,\ d&quot; de &quot;mmmm&quot; de &quot;yyyy"/>
    <numFmt numFmtId="205" formatCode="00000"/>
    <numFmt numFmtId="206" formatCode="0&quot;.&quot;0&quot;.&quot;0&quot;.&quot;0&quot;.&quot;00&quot;.&quot;0&quot;.&quot;0"/>
    <numFmt numFmtId="207" formatCode="#,##0.00_ ;\-#,##0.00\ "/>
    <numFmt numFmtId="208" formatCode="_(* #,##0_);_(* \(#,##0\);_(* &quot;-&quot;??_);_(@_)"/>
    <numFmt numFmtId="209" formatCode="&quot;Sim&quot;;&quot;Sim&quot;;&quot;Não&quot;"/>
    <numFmt numFmtId="210" formatCode="&quot;Verdadeiro&quot;;&quot;Verdadeiro&quot;;&quot;Falso&quot;"/>
    <numFmt numFmtId="211" formatCode="&quot;Ativar&quot;;&quot;Ativar&quot;;&quot;Desativar&quot;"/>
    <numFmt numFmtId="212" formatCode="[$€-2]\ #,##0.00_);[Red]\([$€-2]\ #,##0.00\)"/>
    <numFmt numFmtId="213" formatCode="0&quot;.&quot;0&quot;.&quot;0&quot;.&quot;0&quot;.&quot;0&quot;.&quot;00&quot;.&quot;00"/>
    <numFmt numFmtId="214" formatCode="&quot;Ativado&quot;;&quot;Ativado&quot;;&quot;Desativado&quot;"/>
  </numFmts>
  <fonts count="105">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b/>
      <sz val="9"/>
      <name val="Wingdings"/>
      <family val="0"/>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1"/>
      <color indexed="8"/>
      <name val="Arial"/>
      <family val="2"/>
    </font>
    <font>
      <b/>
      <sz val="11"/>
      <name val="Times New Roman"/>
      <family val="1"/>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9"/>
      <color indexed="10"/>
      <name val="Arial"/>
      <family val="2"/>
    </font>
    <font>
      <b/>
      <sz val="11"/>
      <color indexed="10"/>
      <name val="Arial"/>
      <family val="2"/>
    </font>
    <font>
      <b/>
      <sz val="8"/>
      <color indexed="10"/>
      <name val="Times New Roman"/>
      <family val="1"/>
    </font>
    <font>
      <b/>
      <sz val="11"/>
      <color indexed="10"/>
      <name val="Calibri"/>
      <family val="2"/>
    </font>
    <font>
      <vertAlign val="superscript"/>
      <sz val="10"/>
      <name val="Calibri"/>
      <family val="2"/>
    </font>
    <font>
      <b/>
      <vertAlign val="superscript"/>
      <sz val="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17"/>
      <name val="Arial"/>
      <family val="2"/>
    </font>
    <font>
      <sz val="10"/>
      <name val="Calibri"/>
      <family val="2"/>
    </font>
    <font>
      <b/>
      <sz val="10"/>
      <name val="Calibri"/>
      <family val="2"/>
    </font>
    <font>
      <b/>
      <sz val="9"/>
      <name val="Calibri"/>
      <family val="2"/>
    </font>
    <font>
      <sz val="12"/>
      <color indexed="8"/>
      <name val="Arial"/>
      <family val="2"/>
    </font>
    <font>
      <b/>
      <sz val="12"/>
      <color indexed="8"/>
      <name val="Arial"/>
      <family val="2"/>
    </font>
    <font>
      <b/>
      <sz val="14"/>
      <color indexed="8"/>
      <name val="Arial"/>
      <family val="2"/>
    </font>
    <font>
      <sz val="11"/>
      <color indexed="8"/>
      <name val="Arial"/>
      <family val="2"/>
    </font>
    <font>
      <sz val="10"/>
      <color indexed="8"/>
      <name val="Calibri"/>
      <family val="2"/>
    </font>
    <font>
      <i/>
      <sz val="11"/>
      <color indexed="8"/>
      <name val="Calibri"/>
      <family val="2"/>
    </font>
    <font>
      <sz val="12"/>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B050"/>
      <name val="Arial"/>
      <family val="2"/>
    </font>
    <font>
      <sz val="10"/>
      <color theme="1"/>
      <name val="Arial"/>
      <family val="2"/>
    </font>
    <font>
      <sz val="10"/>
      <color rgb="FFFF0000"/>
      <name val="Arial"/>
      <family val="2"/>
    </font>
    <font>
      <sz val="12"/>
      <color theme="1"/>
      <name val="Arial"/>
      <family val="2"/>
    </font>
    <font>
      <b/>
      <sz val="12"/>
      <color theme="1"/>
      <name val="Arial"/>
      <family val="2"/>
    </font>
    <font>
      <b/>
      <sz val="14"/>
      <color theme="1"/>
      <name val="Arial"/>
      <family val="2"/>
    </font>
    <font>
      <b/>
      <sz val="10"/>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D9D9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dashed"/>
      <right style="thin"/>
      <top style="thin"/>
      <bottom>
        <color indexed="63"/>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style="dashed"/>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style="thin"/>
      <right style="thin"/>
      <top style="thin"/>
      <bottom style="thin">
        <color indexed="9"/>
      </bottom>
    </border>
    <border>
      <left>
        <color indexed="63"/>
      </left>
      <right style="thin"/>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style="thin"/>
      <right style="thin"/>
      <top style="thin">
        <color indexed="9"/>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top/>
      <bottom/>
    </border>
    <border>
      <left>
        <color indexed="63"/>
      </left>
      <right>
        <color indexed="63"/>
      </right>
      <top style="medium"/>
      <bottom style="medium"/>
    </border>
    <border>
      <left style="medium"/>
      <right/>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7"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8"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89" fillId="31" borderId="0" applyNumberFormat="0" applyBorder="0" applyAlignment="0" applyProtection="0"/>
    <xf numFmtId="0" fontId="0" fillId="0" borderId="0">
      <alignment/>
      <protection/>
    </xf>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0" fontId="90" fillId="21" borderId="5" applyNumberFormat="0" applyAlignment="0" applyProtection="0"/>
    <xf numFmtId="175"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96" fillId="0" borderId="8" applyNumberFormat="0" applyFill="0" applyAlignment="0" applyProtection="0"/>
    <xf numFmtId="0" fontId="96" fillId="0" borderId="0" applyNumberFormat="0" applyFill="0" applyBorder="0" applyAlignment="0" applyProtection="0"/>
    <xf numFmtId="0" fontId="97" fillId="0" borderId="9" applyNumberFormat="0" applyFill="0" applyAlignment="0" applyProtection="0"/>
    <xf numFmtId="177" fontId="0" fillId="0" borderId="0" applyFont="0" applyFill="0" applyBorder="0" applyAlignment="0" applyProtection="0"/>
  </cellStyleXfs>
  <cellXfs count="877">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3"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0" fontId="10" fillId="34" borderId="10" xfId="0" applyNumberFormat="1" applyFont="1" applyFill="1" applyBorder="1" applyAlignment="1" applyProtection="1">
      <alignment horizontal="center"/>
      <protection locked="0"/>
    </xf>
    <xf numFmtId="190"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53"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0" fontId="0" fillId="0" borderId="0" xfId="0" applyNumberFormat="1" applyAlignment="1">
      <alignment/>
    </xf>
    <xf numFmtId="177" fontId="0" fillId="0" borderId="15" xfId="0" applyNumberFormat="1" applyFont="1" applyFill="1" applyBorder="1" applyAlignment="1">
      <alignment/>
    </xf>
    <xf numFmtId="0" fontId="20"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13" fillId="0" borderId="16" xfId="0" applyFont="1" applyBorder="1" applyAlignment="1">
      <alignment horizontal="left"/>
    </xf>
    <xf numFmtId="0" fontId="0" fillId="0" borderId="16" xfId="0" applyFont="1" applyFill="1" applyBorder="1" applyAlignment="1">
      <alignment horizontal="left"/>
    </xf>
    <xf numFmtId="0" fontId="24" fillId="0" borderId="0" xfId="0" applyFont="1" applyAlignment="1">
      <alignment/>
    </xf>
    <xf numFmtId="4" fontId="6" fillId="33" borderId="0" xfId="53" applyNumberFormat="1" applyFont="1" applyFill="1" applyBorder="1" applyAlignment="1">
      <alignment/>
    </xf>
    <xf numFmtId="4" fontId="17" fillId="33" borderId="0" xfId="53"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7"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8" xfId="0" applyFont="1" applyFill="1" applyBorder="1" applyAlignment="1">
      <alignment horizontal="left"/>
    </xf>
    <xf numFmtId="173" fontId="0" fillId="0" borderId="18" xfId="0" applyNumberFormat="1" applyFont="1" applyFill="1" applyBorder="1" applyAlignment="1">
      <alignment horizontal="left"/>
    </xf>
    <xf numFmtId="49" fontId="0" fillId="0" borderId="0" xfId="0" applyNumberFormat="1" applyFont="1" applyAlignment="1">
      <alignment/>
    </xf>
    <xf numFmtId="0" fontId="15" fillId="0" borderId="0" xfId="0" applyFont="1" applyAlignment="1">
      <alignment/>
    </xf>
    <xf numFmtId="0" fontId="15" fillId="0" borderId="0" xfId="0" applyFont="1" applyAlignment="1">
      <alignment horizontal="center" vertical="center"/>
    </xf>
    <xf numFmtId="0" fontId="16" fillId="0" borderId="0" xfId="0" applyFont="1" applyAlignment="1">
      <alignment/>
    </xf>
    <xf numFmtId="49" fontId="15" fillId="0" borderId="0" xfId="0" applyNumberFormat="1" applyFont="1" applyAlignment="1">
      <alignment/>
    </xf>
    <xf numFmtId="177" fontId="17" fillId="0" borderId="15" xfId="0" applyNumberFormat="1" applyFont="1" applyFill="1" applyBorder="1" applyAlignment="1" applyProtection="1">
      <alignment/>
      <protection locked="0"/>
    </xf>
    <xf numFmtId="3" fontId="17" fillId="0" borderId="0" xfId="0" applyNumberFormat="1" applyFont="1" applyBorder="1" applyAlignment="1">
      <alignment/>
    </xf>
    <xf numFmtId="177" fontId="6" fillId="0" borderId="15" xfId="0" applyNumberFormat="1" applyFont="1" applyFill="1" applyBorder="1" applyAlignment="1" applyProtection="1">
      <alignment horizontal="right"/>
      <protection locked="0"/>
    </xf>
    <xf numFmtId="177" fontId="17" fillId="0" borderId="15" xfId="0" applyNumberFormat="1" applyFont="1" applyBorder="1" applyAlignment="1">
      <alignment/>
    </xf>
    <xf numFmtId="0" fontId="17" fillId="0" borderId="15" xfId="0" applyFont="1" applyBorder="1" applyAlignment="1">
      <alignment/>
    </xf>
    <xf numFmtId="0" fontId="20" fillId="0" borderId="19" xfId="0" applyFont="1" applyBorder="1" applyAlignment="1">
      <alignment/>
    </xf>
    <xf numFmtId="0" fontId="0" fillId="0" borderId="0" xfId="0" applyBorder="1" applyAlignment="1">
      <alignment/>
    </xf>
    <xf numFmtId="0" fontId="0" fillId="0" borderId="20" xfId="0"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21" fillId="35" borderId="24" xfId="0" applyFont="1" applyFill="1" applyBorder="1" applyAlignment="1">
      <alignment horizontal="center" vertical="top" wrapText="1"/>
    </xf>
    <xf numFmtId="0" fontId="21" fillId="35" borderId="20" xfId="0" applyFont="1" applyFill="1" applyBorder="1" applyAlignment="1">
      <alignment horizontal="center" vertical="top" wrapText="1"/>
    </xf>
    <xf numFmtId="0" fontId="21" fillId="35" borderId="23" xfId="0" applyFont="1" applyFill="1" applyBorder="1" applyAlignment="1">
      <alignment horizontal="center" vertical="top" wrapText="1"/>
    </xf>
    <xf numFmtId="0" fontId="0" fillId="35" borderId="23" xfId="0" applyFill="1" applyBorder="1" applyAlignment="1">
      <alignment vertical="top" wrapText="1"/>
    </xf>
    <xf numFmtId="0" fontId="21" fillId="35" borderId="20" xfId="0" applyFont="1" applyFill="1" applyBorder="1" applyAlignment="1">
      <alignment vertical="top" wrapText="1"/>
    </xf>
    <xf numFmtId="0" fontId="21" fillId="35" borderId="23" xfId="0" applyFont="1" applyFill="1" applyBorder="1" applyAlignment="1">
      <alignment vertical="top" wrapText="1"/>
    </xf>
    <xf numFmtId="0" fontId="20" fillId="0" borderId="23" xfId="0" applyFont="1" applyBorder="1" applyAlignment="1">
      <alignment horizontal="center" vertical="top" wrapText="1"/>
    </xf>
    <xf numFmtId="0" fontId="15" fillId="0" borderId="0" xfId="0" applyFont="1" applyAlignment="1">
      <alignment/>
    </xf>
    <xf numFmtId="0" fontId="0" fillId="0" borderId="23" xfId="0" applyFont="1" applyBorder="1" applyAlignment="1">
      <alignment horizontal="center" wrapText="1"/>
    </xf>
    <xf numFmtId="0" fontId="5" fillId="0" borderId="0" xfId="0" applyFont="1" applyFill="1" applyAlignment="1">
      <alignment/>
    </xf>
    <xf numFmtId="0" fontId="5" fillId="0" borderId="16" xfId="0" applyFont="1" applyFill="1" applyBorder="1" applyAlignment="1">
      <alignment horizontal="left"/>
    </xf>
    <xf numFmtId="43" fontId="0" fillId="0" borderId="15" xfId="0" applyNumberFormat="1" applyFont="1" applyFill="1" applyBorder="1" applyAlignment="1">
      <alignment/>
    </xf>
    <xf numFmtId="0" fontId="0" fillId="0" borderId="0" xfId="0" applyFill="1" applyAlignment="1">
      <alignment/>
    </xf>
    <xf numFmtId="0" fontId="30" fillId="34" borderId="0" xfId="0" applyFont="1" applyFill="1" applyAlignment="1">
      <alignment/>
    </xf>
    <xf numFmtId="0" fontId="31" fillId="0" borderId="0" xfId="0" applyFont="1" applyAlignment="1" applyProtection="1">
      <alignment/>
      <protection locked="0"/>
    </xf>
    <xf numFmtId="0" fontId="29" fillId="0" borderId="0" xfId="0" applyFont="1" applyFill="1" applyAlignment="1">
      <alignment/>
    </xf>
    <xf numFmtId="177" fontId="2" fillId="0" borderId="15" xfId="0" applyNumberFormat="1" applyFont="1" applyFill="1" applyBorder="1" applyAlignment="1">
      <alignment/>
    </xf>
    <xf numFmtId="0" fontId="7" fillId="36" borderId="0" xfId="0" applyFont="1" applyFill="1" applyAlignment="1">
      <alignment/>
    </xf>
    <xf numFmtId="0" fontId="0" fillId="36"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0" fontId="1" fillId="34" borderId="10" xfId="0" applyNumberFormat="1" applyFont="1" applyFill="1" applyBorder="1" applyAlignment="1">
      <alignment horizontal="center" vertical="center"/>
    </xf>
    <xf numFmtId="190"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1" fillId="0" borderId="0" xfId="0" applyFont="1" applyFill="1" applyAlignment="1" applyProtection="1">
      <alignment/>
      <protection locked="0"/>
    </xf>
    <xf numFmtId="0" fontId="7" fillId="0" borderId="0" xfId="0" applyFont="1" applyFill="1" applyAlignment="1">
      <alignment/>
    </xf>
    <xf numFmtId="0" fontId="30"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2" fillId="0" borderId="0" xfId="0" applyNumberFormat="1" applyFont="1" applyFill="1" applyAlignment="1">
      <alignment/>
    </xf>
    <xf numFmtId="0" fontId="9" fillId="36" borderId="25" xfId="0" applyFont="1" applyFill="1" applyBorder="1" applyAlignment="1">
      <alignment/>
    </xf>
    <xf numFmtId="177" fontId="9" fillId="36" borderId="15" xfId="0" applyNumberFormat="1" applyFont="1" applyFill="1" applyBorder="1" applyAlignment="1">
      <alignment/>
    </xf>
    <xf numFmtId="0" fontId="0" fillId="0" borderId="0" xfId="0" applyFont="1" applyAlignment="1">
      <alignment/>
    </xf>
    <xf numFmtId="43" fontId="0" fillId="0" borderId="17" xfId="0" applyNumberFormat="1" applyFont="1" applyFill="1" applyBorder="1" applyAlignment="1">
      <alignment horizontal="right" wrapText="1"/>
    </xf>
    <xf numFmtId="43" fontId="0" fillId="0" borderId="17" xfId="0" applyNumberFormat="1" applyFont="1" applyFill="1" applyBorder="1" applyAlignment="1" applyProtection="1">
      <alignment horizontal="right"/>
      <protection locked="0"/>
    </xf>
    <xf numFmtId="0" fontId="33" fillId="37" borderId="26" xfId="0" applyFont="1" applyFill="1" applyBorder="1" applyAlignment="1" applyProtection="1">
      <alignment horizontal="center" vertical="center"/>
      <protection/>
    </xf>
    <xf numFmtId="0" fontId="33" fillId="37" borderId="15" xfId="0" applyFont="1" applyFill="1" applyBorder="1" applyAlignment="1" applyProtection="1">
      <alignment horizontal="center" vertical="center"/>
      <protection/>
    </xf>
    <xf numFmtId="49" fontId="33" fillId="37" borderId="26" xfId="0" applyNumberFormat="1" applyFont="1" applyFill="1" applyBorder="1" applyAlignment="1" applyProtection="1">
      <alignment vertical="center"/>
      <protection/>
    </xf>
    <xf numFmtId="43" fontId="33" fillId="37" borderId="15" xfId="0" applyNumberFormat="1" applyFont="1" applyFill="1" applyBorder="1" applyAlignment="1" applyProtection="1">
      <alignment vertical="center"/>
      <protection/>
    </xf>
    <xf numFmtId="49" fontId="33" fillId="37" borderId="26" xfId="0" applyNumberFormat="1" applyFont="1" applyFill="1" applyBorder="1" applyAlignment="1" applyProtection="1">
      <alignment horizontal="left" vertical="center"/>
      <protection/>
    </xf>
    <xf numFmtId="43" fontId="33" fillId="37" borderId="15" xfId="0" applyNumberFormat="1" applyFont="1" applyFill="1" applyBorder="1" applyAlignment="1" applyProtection="1">
      <alignment horizontal="left" vertical="center"/>
      <protection/>
    </xf>
    <xf numFmtId="0" fontId="34" fillId="37" borderId="0" xfId="0" applyFont="1" applyFill="1" applyAlignment="1" applyProtection="1">
      <alignment horizontal="left" vertical="center" indent="1"/>
      <protection/>
    </xf>
    <xf numFmtId="43" fontId="34" fillId="37" borderId="15" xfId="0" applyNumberFormat="1" applyFont="1" applyFill="1" applyBorder="1" applyAlignment="1" applyProtection="1">
      <alignment horizontal="left" vertical="center" indent="1"/>
      <protection/>
    </xf>
    <xf numFmtId="49" fontId="34" fillId="37" borderId="0" xfId="0" applyNumberFormat="1" applyFont="1" applyFill="1" applyBorder="1" applyAlignment="1" applyProtection="1">
      <alignment horizontal="left" vertical="center" indent="1"/>
      <protection/>
    </xf>
    <xf numFmtId="0" fontId="5" fillId="38" borderId="27" xfId="0" applyFont="1" applyFill="1" applyBorder="1" applyAlignment="1">
      <alignment horizontal="center" wrapText="1"/>
    </xf>
    <xf numFmtId="0" fontId="35" fillId="38" borderId="0" xfId="0" applyFont="1" applyFill="1" applyBorder="1" applyAlignment="1">
      <alignment horizontal="center" wrapText="1"/>
    </xf>
    <xf numFmtId="1" fontId="33" fillId="36" borderId="25" xfId="64" applyNumberFormat="1" applyFont="1" applyFill="1" applyBorder="1" applyAlignment="1" applyProtection="1">
      <alignment horizontal="center" vertical="center" wrapText="1"/>
      <protection/>
    </xf>
    <xf numFmtId="0" fontId="34" fillId="36" borderId="0" xfId="64" applyNumberFormat="1" applyFont="1" applyFill="1" applyBorder="1" applyAlignment="1" applyProtection="1">
      <alignment horizontal="left" vertical="center"/>
      <protection/>
    </xf>
    <xf numFmtId="0" fontId="34" fillId="36" borderId="0" xfId="64" applyNumberFormat="1" applyFont="1" applyFill="1" applyAlignment="1" applyProtection="1">
      <alignment horizontal="left" vertical="center"/>
      <protection/>
    </xf>
    <xf numFmtId="49" fontId="0" fillId="36" borderId="0" xfId="0" applyNumberFormat="1" applyFont="1" applyFill="1" applyAlignment="1" applyProtection="1">
      <alignment vertical="center"/>
      <protection/>
    </xf>
    <xf numFmtId="208" fontId="0" fillId="36" borderId="0" xfId="64" applyNumberFormat="1" applyFont="1" applyFill="1" applyAlignment="1" applyProtection="1">
      <alignment vertical="center"/>
      <protection/>
    </xf>
    <xf numFmtId="0" fontId="0" fillId="0" borderId="0" xfId="0" applyFont="1" applyAlignment="1">
      <alignment horizontal="center"/>
    </xf>
    <xf numFmtId="0" fontId="34" fillId="36" borderId="28" xfId="64" applyNumberFormat="1" applyFont="1" applyFill="1" applyBorder="1" applyAlignment="1" applyProtection="1">
      <alignment horizontal="left" vertical="center"/>
      <protection/>
    </xf>
    <xf numFmtId="0" fontId="34" fillId="36" borderId="29" xfId="64" applyNumberFormat="1" applyFont="1" applyFill="1" applyBorder="1" applyAlignment="1" applyProtection="1">
      <alignment horizontal="left" vertical="center"/>
      <protection/>
    </xf>
    <xf numFmtId="0" fontId="34" fillId="36" borderId="30" xfId="64"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7" fillId="0" borderId="31" xfId="0" applyNumberFormat="1" applyFont="1" applyBorder="1" applyAlignment="1">
      <alignment horizontal="justify" wrapText="1"/>
    </xf>
    <xf numFmtId="0" fontId="17" fillId="0" borderId="32" xfId="0" applyFont="1" applyBorder="1" applyAlignment="1">
      <alignment horizontal="justify" wrapText="1"/>
    </xf>
    <xf numFmtId="0" fontId="17" fillId="0" borderId="33" xfId="0" applyFont="1" applyBorder="1" applyAlignment="1">
      <alignment horizontal="justify" wrapText="1"/>
    </xf>
    <xf numFmtId="0" fontId="17" fillId="0" borderId="18" xfId="0" applyFont="1" applyFill="1" applyBorder="1" applyAlignment="1">
      <alignment wrapText="1"/>
    </xf>
    <xf numFmtId="0" fontId="17" fillId="0" borderId="0" xfId="0" applyFont="1" applyAlignment="1">
      <alignment wrapText="1"/>
    </xf>
    <xf numFmtId="0" fontId="0" fillId="0" borderId="0" xfId="0" applyAlignment="1">
      <alignment/>
    </xf>
    <xf numFmtId="173" fontId="17" fillId="0" borderId="18" xfId="0" applyNumberFormat="1" applyFont="1" applyBorder="1" applyAlignment="1">
      <alignment horizontal="right" wrapText="1"/>
    </xf>
    <xf numFmtId="0" fontId="17" fillId="0" borderId="25" xfId="0" applyFont="1" applyBorder="1" applyAlignment="1">
      <alignment horizontal="center" vertical="center" wrapText="1"/>
    </xf>
    <xf numFmtId="0" fontId="5" fillId="36" borderId="16" xfId="0" applyNumberFormat="1" applyFont="1" applyFill="1" applyBorder="1" applyAlignment="1" applyProtection="1">
      <alignment horizontal="center" vertical="center"/>
      <protection locked="0"/>
    </xf>
    <xf numFmtId="190" fontId="5" fillId="36" borderId="34" xfId="0" applyNumberFormat="1" applyFont="1" applyFill="1" applyBorder="1" applyAlignment="1">
      <alignment horizontal="center" vertical="center"/>
    </xf>
    <xf numFmtId="190" fontId="37" fillId="36" borderId="35" xfId="0" applyNumberFormat="1" applyFont="1" applyFill="1" applyBorder="1" applyAlignment="1" applyProtection="1">
      <alignment horizontal="center"/>
      <protection locked="0"/>
    </xf>
    <xf numFmtId="190" fontId="37" fillId="36" borderId="36" xfId="0" applyNumberFormat="1" applyFont="1" applyFill="1" applyBorder="1" applyAlignment="1" applyProtection="1">
      <alignment horizontal="center"/>
      <protection locked="0"/>
    </xf>
    <xf numFmtId="190" fontId="37" fillId="36" borderId="37" xfId="0" applyNumberFormat="1" applyFont="1" applyFill="1" applyBorder="1" applyAlignment="1" applyProtection="1">
      <alignment horizontal="center"/>
      <protection locked="0"/>
    </xf>
    <xf numFmtId="190" fontId="37" fillId="36" borderId="38" xfId="0" applyNumberFormat="1" applyFont="1" applyFill="1" applyBorder="1" applyAlignment="1" applyProtection="1">
      <alignment horizontal="center"/>
      <protection locked="0"/>
    </xf>
    <xf numFmtId="0" fontId="5" fillId="36" borderId="0" xfId="0" applyNumberFormat="1" applyFont="1" applyFill="1" applyBorder="1" applyAlignment="1" applyProtection="1">
      <alignment horizontal="center" vertical="center"/>
      <protection locked="0"/>
    </xf>
    <xf numFmtId="189" fontId="5" fillId="36" borderId="39" xfId="47" applyFont="1" applyFill="1" applyBorder="1" applyAlignment="1">
      <alignment horizontal="center" vertical="center"/>
    </xf>
    <xf numFmtId="190" fontId="5" fillId="36" borderId="10" xfId="0" applyNumberFormat="1" applyFont="1" applyFill="1" applyBorder="1" applyAlignment="1">
      <alignment horizontal="center" vertical="center"/>
    </xf>
    <xf numFmtId="190" fontId="5" fillId="36" borderId="11" xfId="0" applyNumberFormat="1" applyFont="1" applyFill="1" applyBorder="1" applyAlignment="1">
      <alignment horizontal="center" vertical="center"/>
    </xf>
    <xf numFmtId="0" fontId="5" fillId="36" borderId="30" xfId="51" applyFont="1" applyFill="1" applyBorder="1" applyAlignment="1">
      <alignment vertical="center"/>
      <protection/>
    </xf>
    <xf numFmtId="0" fontId="5" fillId="36" borderId="30" xfId="51" applyNumberFormat="1" applyFont="1" applyFill="1" applyBorder="1" applyAlignment="1">
      <alignment vertical="center" wrapText="1"/>
      <protection/>
    </xf>
    <xf numFmtId="43" fontId="37" fillId="36" borderId="10" xfId="0" applyNumberFormat="1" applyFont="1" applyFill="1" applyBorder="1" applyAlignment="1" applyProtection="1">
      <alignment horizontal="right"/>
      <protection locked="0"/>
    </xf>
    <xf numFmtId="0" fontId="5" fillId="36" borderId="15" xfId="51" applyFont="1" applyFill="1" applyBorder="1" applyAlignment="1">
      <alignment vertical="center"/>
      <protection/>
    </xf>
    <xf numFmtId="0" fontId="5" fillId="36" borderId="15" xfId="51" applyNumberFormat="1" applyFont="1" applyFill="1" applyBorder="1" applyAlignment="1">
      <alignment vertical="center" wrapText="1"/>
      <protection/>
    </xf>
    <xf numFmtId="43" fontId="5" fillId="36" borderId="15" xfId="0" applyNumberFormat="1" applyFont="1" applyFill="1" applyBorder="1" applyAlignment="1">
      <alignment/>
    </xf>
    <xf numFmtId="0" fontId="0" fillId="36" borderId="15" xfId="51" applyFont="1" applyFill="1" applyBorder="1" applyAlignment="1">
      <alignment vertical="center"/>
      <protection/>
    </xf>
    <xf numFmtId="0" fontId="0" fillId="36" borderId="15" xfId="51" applyNumberFormat="1" applyFont="1" applyFill="1" applyBorder="1" applyAlignment="1">
      <alignment vertical="center" wrapText="1"/>
      <protection/>
    </xf>
    <xf numFmtId="43" fontId="0" fillId="36" borderId="15" xfId="0" applyNumberFormat="1" applyFont="1" applyFill="1" applyBorder="1" applyAlignment="1">
      <alignment/>
    </xf>
    <xf numFmtId="206" fontId="0" fillId="36" borderId="15" xfId="51" applyNumberFormat="1" applyFont="1" applyFill="1" applyBorder="1" applyAlignment="1">
      <alignment vertical="center" wrapText="1"/>
      <protection/>
    </xf>
    <xf numFmtId="0" fontId="0" fillId="36" borderId="40" xfId="51" applyFont="1" applyFill="1" applyBorder="1" applyAlignment="1">
      <alignment vertical="center"/>
      <protection/>
    </xf>
    <xf numFmtId="177" fontId="0" fillId="36" borderId="15" xfId="0" applyNumberFormat="1" applyFont="1" applyFill="1" applyBorder="1" applyAlignment="1">
      <alignment/>
    </xf>
    <xf numFmtId="177" fontId="5" fillId="36" borderId="15" xfId="0" applyNumberFormat="1" applyFont="1" applyFill="1" applyBorder="1" applyAlignment="1">
      <alignment/>
    </xf>
    <xf numFmtId="0" fontId="0" fillId="36" borderId="0" xfId="0" applyFont="1" applyFill="1" applyBorder="1" applyAlignment="1">
      <alignment/>
    </xf>
    <xf numFmtId="0" fontId="0" fillId="36" borderId="17" xfId="0" applyFont="1" applyFill="1" applyBorder="1" applyAlignment="1">
      <alignment/>
    </xf>
    <xf numFmtId="0" fontId="5" fillId="36" borderId="27" xfId="0" applyFont="1" applyFill="1" applyBorder="1" applyAlignment="1">
      <alignment/>
    </xf>
    <xf numFmtId="0" fontId="5" fillId="36" borderId="25" xfId="0" applyFont="1" applyFill="1" applyBorder="1" applyAlignment="1">
      <alignment/>
    </xf>
    <xf numFmtId="0" fontId="1" fillId="36" borderId="41" xfId="0" applyFont="1" applyFill="1" applyBorder="1" applyAlignment="1">
      <alignment/>
    </xf>
    <xf numFmtId="0" fontId="1" fillId="36" borderId="17" xfId="0" applyFont="1" applyFill="1" applyBorder="1" applyAlignment="1">
      <alignment/>
    </xf>
    <xf numFmtId="177" fontId="1" fillId="36" borderId="15" xfId="0" applyNumberFormat="1" applyFont="1" applyFill="1" applyBorder="1" applyAlignment="1">
      <alignment/>
    </xf>
    <xf numFmtId="0" fontId="10" fillId="36" borderId="16" xfId="0" applyNumberFormat="1" applyFont="1" applyFill="1" applyBorder="1" applyAlignment="1" applyProtection="1">
      <alignment horizontal="center" vertical="center"/>
      <protection locked="0"/>
    </xf>
    <xf numFmtId="190" fontId="1" fillId="36" borderId="34" xfId="0" applyNumberFormat="1" applyFont="1" applyFill="1" applyBorder="1" applyAlignment="1">
      <alignment horizontal="center" vertical="center"/>
    </xf>
    <xf numFmtId="190" fontId="10" fillId="36" borderId="35" xfId="0" applyNumberFormat="1" applyFont="1" applyFill="1" applyBorder="1" applyAlignment="1" applyProtection="1">
      <alignment horizontal="center"/>
      <protection locked="0"/>
    </xf>
    <xf numFmtId="190" fontId="10" fillId="36" borderId="36" xfId="0" applyNumberFormat="1" applyFont="1" applyFill="1" applyBorder="1" applyAlignment="1" applyProtection="1">
      <alignment horizontal="center"/>
      <protection locked="0"/>
    </xf>
    <xf numFmtId="190" fontId="10" fillId="36" borderId="37" xfId="0" applyNumberFormat="1" applyFont="1" applyFill="1" applyBorder="1" applyAlignment="1" applyProtection="1">
      <alignment horizontal="center"/>
      <protection locked="0"/>
    </xf>
    <xf numFmtId="190" fontId="10" fillId="36" borderId="38" xfId="0" applyNumberFormat="1" applyFont="1" applyFill="1" applyBorder="1" applyAlignment="1" applyProtection="1">
      <alignment horizontal="center"/>
      <protection locked="0"/>
    </xf>
    <xf numFmtId="0" fontId="10" fillId="36" borderId="0" xfId="0" applyNumberFormat="1" applyFont="1" applyFill="1" applyBorder="1" applyAlignment="1" applyProtection="1">
      <alignment horizontal="center" vertical="center"/>
      <protection locked="0"/>
    </xf>
    <xf numFmtId="189" fontId="1" fillId="36" borderId="39" xfId="47" applyFont="1" applyFill="1" applyBorder="1" applyAlignment="1">
      <alignment horizontal="center" vertical="center"/>
    </xf>
    <xf numFmtId="190" fontId="1" fillId="36" borderId="10" xfId="0" applyNumberFormat="1" applyFont="1" applyFill="1" applyBorder="1" applyAlignment="1">
      <alignment horizontal="center" vertical="center"/>
    </xf>
    <xf numFmtId="190" fontId="1" fillId="36" borderId="11" xfId="0" applyNumberFormat="1" applyFont="1" applyFill="1" applyBorder="1" applyAlignment="1">
      <alignment horizontal="center" vertical="center"/>
    </xf>
    <xf numFmtId="0" fontId="2" fillId="36" borderId="41" xfId="0" applyFont="1" applyFill="1" applyBorder="1" applyAlignment="1">
      <alignment/>
    </xf>
    <xf numFmtId="0" fontId="2" fillId="36" borderId="29" xfId="0" applyFont="1" applyFill="1" applyBorder="1" applyAlignment="1">
      <alignment/>
    </xf>
    <xf numFmtId="177" fontId="2" fillId="36" borderId="15" xfId="0" applyNumberFormat="1" applyFont="1" applyFill="1" applyBorder="1" applyAlignment="1">
      <alignment/>
    </xf>
    <xf numFmtId="0" fontId="2" fillId="36" borderId="17" xfId="0" applyFont="1" applyFill="1" applyBorder="1" applyAlignment="1">
      <alignment/>
    </xf>
    <xf numFmtId="0" fontId="2" fillId="36" borderId="27" xfId="0" applyFont="1" applyFill="1" applyBorder="1" applyAlignment="1">
      <alignment/>
    </xf>
    <xf numFmtId="177" fontId="2" fillId="39" borderId="15" xfId="0" applyNumberFormat="1" applyFont="1" applyFill="1" applyBorder="1" applyAlignment="1">
      <alignment/>
    </xf>
    <xf numFmtId="3" fontId="6" fillId="36" borderId="15" xfId="0" applyNumberFormat="1" applyFont="1" applyFill="1" applyBorder="1" applyAlignment="1">
      <alignment horizontal="center"/>
    </xf>
    <xf numFmtId="0" fontId="6" fillId="36" borderId="15" xfId="0" applyFont="1" applyFill="1" applyBorder="1" applyAlignment="1">
      <alignment horizontal="center"/>
    </xf>
    <xf numFmtId="0" fontId="6" fillId="36" borderId="15" xfId="0" applyFont="1" applyFill="1" applyBorder="1" applyAlignment="1">
      <alignment/>
    </xf>
    <xf numFmtId="177" fontId="6" fillId="36" borderId="15" xfId="0" applyNumberFormat="1" applyFont="1" applyFill="1" applyBorder="1" applyAlignment="1">
      <alignment/>
    </xf>
    <xf numFmtId="177" fontId="17" fillId="36" borderId="15" xfId="0" applyNumberFormat="1" applyFont="1" applyFill="1" applyBorder="1" applyAlignment="1">
      <alignment/>
    </xf>
    <xf numFmtId="0" fontId="6" fillId="36" borderId="15" xfId="0" applyFont="1" applyFill="1" applyBorder="1" applyAlignment="1">
      <alignment horizontal="left" vertical="center" wrapText="1"/>
    </xf>
    <xf numFmtId="177" fontId="6" fillId="36" borderId="15" xfId="0" applyNumberFormat="1" applyFont="1" applyFill="1" applyBorder="1" applyAlignment="1">
      <alignment horizontal="right"/>
    </xf>
    <xf numFmtId="0" fontId="17" fillId="36" borderId="25" xfId="0" applyFont="1" applyFill="1" applyBorder="1" applyAlignment="1">
      <alignment horizontal="center" vertical="center" wrapText="1"/>
    </xf>
    <xf numFmtId="0" fontId="17" fillId="36" borderId="17" xfId="0" applyFont="1" applyFill="1" applyBorder="1" applyAlignment="1">
      <alignment vertical="top" wrapText="1"/>
    </xf>
    <xf numFmtId="0" fontId="17" fillId="36" borderId="25" xfId="0" applyFont="1" applyFill="1" applyBorder="1" applyAlignment="1">
      <alignment vertical="top" wrapText="1"/>
    </xf>
    <xf numFmtId="177" fontId="17" fillId="36" borderId="29" xfId="0" applyNumberFormat="1" applyFont="1" applyFill="1" applyBorder="1" applyAlignment="1">
      <alignment vertical="top" wrapText="1"/>
    </xf>
    <xf numFmtId="43" fontId="0" fillId="36" borderId="23" xfId="0" applyNumberFormat="1" applyFont="1" applyFill="1" applyBorder="1" applyAlignment="1">
      <alignment horizontal="right" wrapText="1"/>
    </xf>
    <xf numFmtId="0" fontId="0" fillId="0" borderId="23" xfId="0" applyFont="1" applyFill="1" applyBorder="1" applyAlignment="1">
      <alignment wrapText="1"/>
    </xf>
    <xf numFmtId="43" fontId="0" fillId="0" borderId="23" xfId="0" applyNumberFormat="1" applyFont="1" applyFill="1" applyBorder="1" applyAlignment="1">
      <alignment wrapText="1"/>
    </xf>
    <xf numFmtId="10" fontId="0" fillId="0" borderId="23" xfId="0" applyNumberFormat="1" applyFont="1" applyFill="1" applyBorder="1" applyAlignment="1">
      <alignment horizontal="center" wrapText="1"/>
    </xf>
    <xf numFmtId="0" fontId="0" fillId="0" borderId="23" xfId="0" applyFont="1" applyFill="1" applyBorder="1" applyAlignment="1">
      <alignment horizontal="center" wrapText="1"/>
    </xf>
    <xf numFmtId="43" fontId="0" fillId="0" borderId="23" xfId="0" applyNumberFormat="1" applyFont="1" applyFill="1" applyBorder="1" applyAlignment="1">
      <alignment horizontal="right" wrapText="1"/>
    </xf>
    <xf numFmtId="17" fontId="0" fillId="0" borderId="23" xfId="0" applyNumberFormat="1" applyFont="1" applyFill="1" applyBorder="1" applyAlignment="1">
      <alignment horizontal="center" wrapText="1"/>
    </xf>
    <xf numFmtId="0" fontId="0" fillId="0" borderId="0" xfId="0" applyAlignment="1">
      <alignment horizontal="center"/>
    </xf>
    <xf numFmtId="0" fontId="0" fillId="0" borderId="42" xfId="0" applyFont="1" applyFill="1" applyBorder="1" applyAlignment="1">
      <alignment horizontal="left" wrapText="1"/>
    </xf>
    <xf numFmtId="0" fontId="0" fillId="0" borderId="43" xfId="0" applyFont="1" applyFill="1" applyBorder="1" applyAlignment="1">
      <alignment horizontal="left" wrapText="1"/>
    </xf>
    <xf numFmtId="173" fontId="0" fillId="0" borderId="44" xfId="0" applyNumberFormat="1" applyFont="1" applyFill="1" applyBorder="1" applyAlignment="1">
      <alignment horizontal="right" wrapText="1"/>
    </xf>
    <xf numFmtId="0" fontId="0" fillId="36" borderId="40" xfId="0" applyFont="1" applyFill="1" applyBorder="1" applyAlignment="1">
      <alignment horizontal="center" vertical="top" wrapText="1"/>
    </xf>
    <xf numFmtId="0" fontId="0" fillId="0" borderId="17" xfId="0" applyFont="1" applyFill="1" applyBorder="1" applyAlignment="1">
      <alignment horizontal="center" wrapText="1"/>
    </xf>
    <xf numFmtId="177" fontId="0" fillId="0" borderId="17" xfId="0" applyNumberFormat="1" applyFont="1" applyFill="1" applyBorder="1" applyAlignment="1">
      <alignment wrapText="1"/>
    </xf>
    <xf numFmtId="177" fontId="0" fillId="36" borderId="17" xfId="0" applyNumberFormat="1" applyFont="1" applyFill="1" applyBorder="1" applyAlignment="1">
      <alignment wrapText="1"/>
    </xf>
    <xf numFmtId="0" fontId="0" fillId="0" borderId="29" xfId="0" applyFont="1" applyFill="1" applyBorder="1" applyAlignment="1">
      <alignment horizontal="center" wrapText="1"/>
    </xf>
    <xf numFmtId="0" fontId="0" fillId="0" borderId="25" xfId="0" applyFont="1" applyFill="1" applyBorder="1" applyAlignment="1">
      <alignment horizontal="center" wrapText="1"/>
    </xf>
    <xf numFmtId="177" fontId="0" fillId="0" borderId="25" xfId="0" applyNumberFormat="1" applyFont="1" applyFill="1" applyBorder="1" applyAlignment="1">
      <alignment wrapText="1"/>
    </xf>
    <xf numFmtId="0" fontId="0" fillId="0" borderId="30" xfId="0" applyFont="1" applyFill="1" applyBorder="1" applyAlignment="1">
      <alignment horizontal="center" wrapText="1"/>
    </xf>
    <xf numFmtId="177" fontId="0" fillId="36" borderId="25" xfId="0" applyNumberFormat="1" applyFont="1" applyFill="1" applyBorder="1" applyAlignment="1">
      <alignment wrapText="1"/>
    </xf>
    <xf numFmtId="0" fontId="0" fillId="36" borderId="15" xfId="0" applyFont="1" applyFill="1" applyBorder="1" applyAlignment="1">
      <alignment horizontal="center" wrapText="1"/>
    </xf>
    <xf numFmtId="0" fontId="5" fillId="0" borderId="45" xfId="0" applyFont="1" applyFill="1" applyBorder="1" applyAlignment="1">
      <alignment horizontal="left"/>
    </xf>
    <xf numFmtId="0" fontId="6" fillId="0" borderId="18" xfId="0" applyFont="1" applyFill="1" applyBorder="1" applyAlignment="1">
      <alignment wrapText="1"/>
    </xf>
    <xf numFmtId="173" fontId="17" fillId="0" borderId="18" xfId="0" applyNumberFormat="1" applyFont="1" applyFill="1" applyBorder="1" applyAlignment="1">
      <alignment horizontal="right" wrapText="1"/>
    </xf>
    <xf numFmtId="0" fontId="6" fillId="36" borderId="17" xfId="0" applyFont="1" applyFill="1" applyBorder="1" applyAlignment="1">
      <alignment vertical="top" wrapText="1"/>
    </xf>
    <xf numFmtId="177" fontId="6" fillId="36" borderId="29" xfId="0" applyNumberFormat="1" applyFont="1" applyFill="1" applyBorder="1" applyAlignment="1">
      <alignment vertical="top" wrapText="1"/>
    </xf>
    <xf numFmtId="0" fontId="6" fillId="36" borderId="25" xfId="0" applyFont="1" applyFill="1" applyBorder="1" applyAlignment="1">
      <alignment vertical="top" wrapText="1"/>
    </xf>
    <xf numFmtId="177" fontId="6" fillId="36" borderId="30" xfId="0" applyNumberFormat="1" applyFont="1" applyFill="1" applyBorder="1" applyAlignment="1">
      <alignment vertical="top" wrapText="1"/>
    </xf>
    <xf numFmtId="177" fontId="17" fillId="0" borderId="30" xfId="0" applyNumberFormat="1" applyFont="1" applyFill="1" applyBorder="1" applyAlignment="1">
      <alignment vertical="top" wrapText="1"/>
    </xf>
    <xf numFmtId="177" fontId="17" fillId="0" borderId="29" xfId="0" applyNumberFormat="1" applyFont="1" applyFill="1" applyBorder="1" applyAlignment="1">
      <alignment vertical="top" wrapText="1"/>
    </xf>
    <xf numFmtId="177" fontId="6" fillId="36" borderId="30" xfId="0" applyNumberFormat="1" applyFont="1" applyFill="1" applyBorder="1" applyAlignment="1">
      <alignment horizontal="right" vertical="top" wrapText="1"/>
    </xf>
    <xf numFmtId="0" fontId="6" fillId="0" borderId="27" xfId="0" applyFont="1" applyBorder="1" applyAlignment="1">
      <alignment horizontal="center" vertical="center" wrapText="1"/>
    </xf>
    <xf numFmtId="0" fontId="6" fillId="0" borderId="17" xfId="0" applyFont="1" applyBorder="1" applyAlignment="1">
      <alignment vertical="top" wrapText="1"/>
    </xf>
    <xf numFmtId="177" fontId="6" fillId="34" borderId="0" xfId="0" applyNumberFormat="1" applyFont="1" applyFill="1" applyAlignment="1" applyProtection="1">
      <alignment vertical="top" wrapText="1"/>
      <protection locked="0"/>
    </xf>
    <xf numFmtId="0" fontId="17" fillId="0" borderId="17" xfId="0" applyFont="1" applyBorder="1" applyAlignment="1">
      <alignment vertical="top" wrapText="1"/>
    </xf>
    <xf numFmtId="177" fontId="17" fillId="0" borderId="0" xfId="0" applyNumberFormat="1" applyFont="1" applyAlignment="1" applyProtection="1">
      <alignment vertical="top" wrapText="1"/>
      <protection locked="0"/>
    </xf>
    <xf numFmtId="0" fontId="17" fillId="0" borderId="25" xfId="0" applyFont="1" applyBorder="1" applyAlignment="1">
      <alignment vertical="top" wrapText="1"/>
    </xf>
    <xf numFmtId="0" fontId="6" fillId="0" borderId="25" xfId="0" applyFont="1" applyBorder="1" applyAlignment="1">
      <alignment vertical="top" wrapText="1"/>
    </xf>
    <xf numFmtId="177" fontId="6" fillId="34" borderId="27" xfId="0" applyNumberFormat="1" applyFont="1" applyFill="1" applyBorder="1" applyAlignment="1" applyProtection="1">
      <alignment vertical="top" wrapText="1"/>
      <protection locked="0"/>
    </xf>
    <xf numFmtId="177" fontId="17" fillId="0" borderId="27" xfId="0" applyNumberFormat="1" applyFont="1" applyBorder="1" applyAlignment="1" applyProtection="1">
      <alignment vertical="top" wrapText="1"/>
      <protection locked="0"/>
    </xf>
    <xf numFmtId="177" fontId="6" fillId="34" borderId="27" xfId="0" applyNumberFormat="1" applyFont="1" applyFill="1" applyBorder="1" applyAlignment="1" applyProtection="1">
      <alignment horizontal="right" vertical="top" wrapText="1"/>
      <protection locked="0"/>
    </xf>
    <xf numFmtId="0" fontId="6" fillId="36" borderId="15" xfId="0" applyFont="1" applyFill="1" applyBorder="1" applyAlignment="1">
      <alignment horizontal="center" wrapText="1"/>
    </xf>
    <xf numFmtId="0" fontId="17" fillId="36" borderId="15" xfId="0" applyFont="1" applyFill="1" applyBorder="1" applyAlignment="1">
      <alignment horizontal="left" wrapText="1"/>
    </xf>
    <xf numFmtId="177" fontId="17" fillId="0" borderId="15" xfId="0" applyNumberFormat="1" applyFont="1" applyFill="1" applyBorder="1" applyAlignment="1">
      <alignment horizontal="justify" vertical="top" wrapText="1"/>
    </xf>
    <xf numFmtId="0" fontId="17" fillId="0" borderId="15" xfId="0" applyFont="1" applyFill="1" applyBorder="1" applyAlignment="1">
      <alignment horizontal="justify" vertical="top" wrapText="1"/>
    </xf>
    <xf numFmtId="0" fontId="6" fillId="36" borderId="28" xfId="0" applyFont="1" applyFill="1" applyBorder="1" applyAlignment="1">
      <alignment horizontal="left" wrapText="1"/>
    </xf>
    <xf numFmtId="177" fontId="6" fillId="36" borderId="28" xfId="0" applyNumberFormat="1" applyFont="1" applyFill="1" applyBorder="1" applyAlignment="1">
      <alignment horizontal="justify" vertical="top" wrapText="1"/>
    </xf>
    <xf numFmtId="0" fontId="6" fillId="36" borderId="15" xfId="0" applyFont="1" applyFill="1" applyBorder="1" applyAlignment="1">
      <alignment horizontal="left" wrapText="1"/>
    </xf>
    <xf numFmtId="177" fontId="6" fillId="36" borderId="15" xfId="0" applyNumberFormat="1" applyFont="1" applyFill="1" applyBorder="1" applyAlignment="1">
      <alignment horizontal="justify" vertical="top" wrapText="1"/>
    </xf>
    <xf numFmtId="177" fontId="17" fillId="36" borderId="15" xfId="0" applyNumberFormat="1" applyFont="1" applyFill="1" applyBorder="1" applyAlignment="1">
      <alignment horizontal="justify" vertical="top" wrapText="1"/>
    </xf>
    <xf numFmtId="0" fontId="0" fillId="0" borderId="46" xfId="0" applyFont="1" applyFill="1" applyBorder="1" applyAlignment="1">
      <alignment wrapText="1"/>
    </xf>
    <xf numFmtId="43" fontId="0" fillId="0" borderId="15" xfId="0" applyNumberFormat="1" applyFont="1" applyFill="1" applyBorder="1" applyAlignment="1">
      <alignment wrapText="1"/>
    </xf>
    <xf numFmtId="43" fontId="0" fillId="0" borderId="15" xfId="0" applyNumberFormat="1" applyFont="1" applyFill="1" applyBorder="1" applyAlignment="1" applyProtection="1">
      <alignment wrapText="1"/>
      <protection locked="0"/>
    </xf>
    <xf numFmtId="0" fontId="5" fillId="40" borderId="15" xfId="51" applyFont="1" applyFill="1" applyBorder="1" applyAlignment="1">
      <alignment vertical="center"/>
      <protection/>
    </xf>
    <xf numFmtId="0" fontId="5" fillId="40" borderId="15" xfId="51" applyNumberFormat="1" applyFont="1" applyFill="1" applyBorder="1" applyAlignment="1">
      <alignment vertical="center" wrapText="1"/>
      <protection/>
    </xf>
    <xf numFmtId="43" fontId="5" fillId="40" borderId="15" xfId="0" applyNumberFormat="1" applyFont="1" applyFill="1" applyBorder="1" applyAlignment="1">
      <alignment/>
    </xf>
    <xf numFmtId="0" fontId="0" fillId="36" borderId="15" xfId="51" applyFont="1" applyFill="1" applyBorder="1" applyAlignment="1">
      <alignment vertical="center" wrapText="1"/>
      <protection/>
    </xf>
    <xf numFmtId="0" fontId="5" fillId="38" borderId="15" xfId="51" applyFont="1" applyFill="1" applyBorder="1" applyAlignment="1">
      <alignment vertical="center"/>
      <protection/>
    </xf>
    <xf numFmtId="0" fontId="5" fillId="38" borderId="15" xfId="51" applyNumberFormat="1" applyFont="1" applyFill="1" applyBorder="1" applyAlignment="1">
      <alignment vertical="center" wrapText="1"/>
      <protection/>
    </xf>
    <xf numFmtId="43" fontId="5" fillId="38" borderId="15" xfId="0" applyNumberFormat="1" applyFont="1" applyFill="1" applyBorder="1" applyAlignment="1">
      <alignment/>
    </xf>
    <xf numFmtId="43" fontId="0" fillId="33" borderId="15" xfId="0" applyNumberFormat="1" applyFont="1" applyFill="1" applyBorder="1" applyAlignment="1">
      <alignment/>
    </xf>
    <xf numFmtId="3" fontId="40" fillId="36" borderId="15" xfId="0" applyNumberFormat="1" applyFont="1" applyFill="1" applyBorder="1" applyAlignment="1">
      <alignment horizontal="center"/>
    </xf>
    <xf numFmtId="0" fontId="40" fillId="36" borderId="15" xfId="0" applyFont="1" applyFill="1" applyBorder="1" applyAlignment="1">
      <alignment horizontal="center"/>
    </xf>
    <xf numFmtId="0" fontId="40" fillId="33" borderId="15" xfId="0" applyNumberFormat="1" applyFont="1" applyFill="1" applyBorder="1" applyAlignment="1">
      <alignment/>
    </xf>
    <xf numFmtId="0" fontId="41" fillId="33" borderId="15" xfId="0" applyNumberFormat="1" applyFont="1" applyFill="1" applyBorder="1" applyAlignment="1">
      <alignment/>
    </xf>
    <xf numFmtId="0" fontId="40" fillId="0" borderId="15" xfId="0" applyNumberFormat="1" applyFont="1" applyBorder="1" applyAlignment="1">
      <alignment/>
    </xf>
    <xf numFmtId="0" fontId="41" fillId="0" borderId="15" xfId="0" applyNumberFormat="1" applyFont="1" applyBorder="1" applyAlignment="1">
      <alignment/>
    </xf>
    <xf numFmtId="43" fontId="41" fillId="0" borderId="15" xfId="0" applyNumberFormat="1" applyFont="1" applyBorder="1" applyAlignment="1">
      <alignment/>
    </xf>
    <xf numFmtId="0" fontId="39" fillId="0" borderId="15" xfId="0" applyNumberFormat="1" applyFont="1" applyBorder="1" applyAlignment="1">
      <alignment/>
    </xf>
    <xf numFmtId="0" fontId="41" fillId="33" borderId="47" xfId="0" applyFont="1" applyFill="1" applyBorder="1" applyAlignment="1">
      <alignment horizontal="justify" vertical="center" wrapText="1"/>
    </xf>
    <xf numFmtId="0" fontId="41" fillId="33" borderId="21" xfId="0" applyFont="1" applyFill="1" applyBorder="1" applyAlignment="1">
      <alignment horizontal="justify" vertical="center" wrapText="1"/>
    </xf>
    <xf numFmtId="0" fontId="41" fillId="33" borderId="19" xfId="0" applyFont="1" applyFill="1" applyBorder="1" applyAlignment="1">
      <alignment horizontal="justify" vertical="center" wrapText="1"/>
    </xf>
    <xf numFmtId="0" fontId="41" fillId="0" borderId="0" xfId="0" applyFont="1" applyAlignment="1">
      <alignment/>
    </xf>
    <xf numFmtId="0" fontId="40" fillId="0" borderId="0" xfId="0" applyFont="1" applyAlignment="1">
      <alignment/>
    </xf>
    <xf numFmtId="3" fontId="41" fillId="0" borderId="0" xfId="0" applyNumberFormat="1" applyFont="1" applyAlignment="1">
      <alignment/>
    </xf>
    <xf numFmtId="0" fontId="39" fillId="0" borderId="0" xfId="0" applyFont="1" applyAlignment="1">
      <alignment/>
    </xf>
    <xf numFmtId="0" fontId="42" fillId="0" borderId="0" xfId="0" applyFont="1" applyAlignment="1">
      <alignment/>
    </xf>
    <xf numFmtId="0" fontId="43" fillId="0" borderId="0" xfId="0" applyFont="1" applyAlignment="1">
      <alignment/>
    </xf>
    <xf numFmtId="0" fontId="40" fillId="40" borderId="15" xfId="0" applyFont="1" applyFill="1" applyBorder="1" applyAlignment="1">
      <alignment/>
    </xf>
    <xf numFmtId="3" fontId="40" fillId="40" borderId="15" xfId="0" applyNumberFormat="1" applyFont="1" applyFill="1" applyBorder="1" applyAlignment="1">
      <alignment/>
    </xf>
    <xf numFmtId="0" fontId="41" fillId="33" borderId="48" xfId="0" applyFont="1" applyFill="1" applyBorder="1" applyAlignment="1">
      <alignment horizontal="justify" vertical="center" wrapText="1"/>
    </xf>
    <xf numFmtId="0" fontId="41" fillId="33" borderId="49" xfId="0" applyFont="1" applyFill="1" applyBorder="1" applyAlignment="1">
      <alignment horizontal="justify" vertical="center" wrapText="1"/>
    </xf>
    <xf numFmtId="0" fontId="40" fillId="34" borderId="15" xfId="0" applyFont="1" applyFill="1" applyBorder="1" applyAlignment="1">
      <alignment/>
    </xf>
    <xf numFmtId="43" fontId="40" fillId="34" borderId="15" xfId="0" applyNumberFormat="1" applyFont="1" applyFill="1" applyBorder="1" applyAlignment="1">
      <alignment/>
    </xf>
    <xf numFmtId="0" fontId="6" fillId="38" borderId="15" xfId="0" applyFont="1" applyFill="1" applyBorder="1" applyAlignment="1">
      <alignment/>
    </xf>
    <xf numFmtId="3" fontId="6" fillId="36" borderId="15" xfId="0" applyNumberFormat="1" applyFont="1" applyFill="1" applyBorder="1" applyAlignment="1">
      <alignment horizontal="center" wrapText="1"/>
    </xf>
    <xf numFmtId="177" fontId="6" fillId="38" borderId="15" xfId="0" applyNumberFormat="1" applyFont="1" applyFill="1" applyBorder="1" applyAlignment="1" applyProtection="1">
      <alignment/>
      <protection locked="0"/>
    </xf>
    <xf numFmtId="0" fontId="0" fillId="0" borderId="50" xfId="0" applyFont="1" applyFill="1" applyBorder="1" applyAlignment="1">
      <alignment horizontal="center"/>
    </xf>
    <xf numFmtId="0" fontId="0" fillId="0" borderId="15" xfId="0" applyFont="1" applyFill="1" applyBorder="1" applyAlignment="1">
      <alignment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wrapText="1"/>
    </xf>
    <xf numFmtId="0" fontId="0" fillId="0" borderId="30" xfId="0" applyFont="1" applyFill="1" applyBorder="1" applyAlignment="1" quotePrefix="1">
      <alignment horizontal="center" wrapText="1"/>
    </xf>
    <xf numFmtId="0" fontId="0" fillId="0" borderId="25" xfId="0" applyFont="1" applyFill="1" applyBorder="1" applyAlignment="1">
      <alignment horizontal="center" wrapText="1"/>
    </xf>
    <xf numFmtId="43" fontId="0" fillId="0" borderId="15" xfId="0" applyNumberFormat="1" applyFont="1" applyFill="1" applyBorder="1" applyAlignment="1">
      <alignment horizontal="right" wrapText="1"/>
    </xf>
    <xf numFmtId="0" fontId="0" fillId="0" borderId="17" xfId="0" applyFont="1" applyFill="1" applyBorder="1" applyAlignment="1">
      <alignment/>
    </xf>
    <xf numFmtId="0" fontId="0" fillId="0" borderId="25" xfId="0" applyFont="1" applyFill="1" applyBorder="1" applyAlignment="1">
      <alignment/>
    </xf>
    <xf numFmtId="0" fontId="44" fillId="0" borderId="18" xfId="0" applyFont="1" applyFill="1" applyBorder="1" applyAlignment="1">
      <alignment wrapText="1"/>
    </xf>
    <xf numFmtId="177" fontId="44" fillId="0" borderId="17" xfId="0" applyNumberFormat="1" applyFont="1" applyFill="1" applyBorder="1" applyAlignment="1" applyProtection="1">
      <alignment wrapText="1"/>
      <protection locked="0"/>
    </xf>
    <xf numFmtId="177" fontId="44" fillId="0" borderId="25" xfId="0" applyNumberFormat="1" applyFont="1" applyFill="1" applyBorder="1" applyAlignment="1" applyProtection="1">
      <alignment wrapText="1"/>
      <protection locked="0"/>
    </xf>
    <xf numFmtId="173" fontId="44" fillId="0" borderId="18" xfId="0" applyNumberFormat="1" applyFont="1" applyFill="1" applyBorder="1" applyAlignment="1">
      <alignment horizontal="right"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17" xfId="0" applyFont="1" applyFill="1" applyBorder="1" applyAlignment="1">
      <alignment wrapText="1"/>
    </xf>
    <xf numFmtId="0" fontId="44" fillId="0" borderId="25" xfId="0" applyFont="1" applyFill="1" applyBorder="1" applyAlignment="1">
      <alignment wrapText="1"/>
    </xf>
    <xf numFmtId="0" fontId="45" fillId="0" borderId="25" xfId="0" applyFont="1" applyFill="1" applyBorder="1" applyAlignment="1">
      <alignment wrapText="1"/>
    </xf>
    <xf numFmtId="39" fontId="0" fillId="41" borderId="15" xfId="0" applyNumberFormat="1" applyFont="1" applyFill="1" applyBorder="1" applyAlignment="1" applyProtection="1">
      <alignment horizontal="center"/>
      <protection/>
    </xf>
    <xf numFmtId="0" fontId="5" fillId="42" borderId="15" xfId="0" applyFont="1" applyFill="1" applyBorder="1" applyAlignment="1">
      <alignment horizontal="center"/>
    </xf>
    <xf numFmtId="0" fontId="5" fillId="43" borderId="15" xfId="0" applyFont="1" applyFill="1" applyBorder="1" applyAlignment="1" applyProtection="1">
      <alignment/>
      <protection locked="0"/>
    </xf>
    <xf numFmtId="10" fontId="0" fillId="42" borderId="15" xfId="0" applyNumberFormat="1" applyFont="1" applyFill="1" applyBorder="1" applyAlignment="1" applyProtection="1">
      <alignment horizontal="center"/>
      <protection/>
    </xf>
    <xf numFmtId="0" fontId="5" fillId="43" borderId="15" xfId="0" applyFont="1" applyFill="1" applyBorder="1" applyAlignment="1">
      <alignment/>
    </xf>
    <xf numFmtId="0" fontId="5" fillId="44" borderId="15" xfId="0" applyFont="1" applyFill="1" applyBorder="1" applyAlignment="1">
      <alignment/>
    </xf>
    <xf numFmtId="0" fontId="5" fillId="42" borderId="15" xfId="0" applyFont="1" applyFill="1" applyBorder="1" applyAlignment="1">
      <alignment/>
    </xf>
    <xf numFmtId="39" fontId="0" fillId="42" borderId="15" xfId="0" applyNumberFormat="1" applyFont="1" applyFill="1" applyBorder="1" applyAlignment="1" applyProtection="1">
      <alignment horizontal="center"/>
      <protection/>
    </xf>
    <xf numFmtId="10" fontId="0" fillId="41" borderId="15" xfId="0" applyNumberFormat="1" applyFont="1" applyFill="1" applyBorder="1" applyAlignment="1" applyProtection="1">
      <alignment horizontal="center"/>
      <protection/>
    </xf>
    <xf numFmtId="10" fontId="0" fillId="41" borderId="15" xfId="0" applyNumberFormat="1" applyFont="1" applyFill="1" applyBorder="1" applyAlignment="1" applyProtection="1">
      <alignment horizontal="center"/>
      <protection locked="0"/>
    </xf>
    <xf numFmtId="43" fontId="41" fillId="2" borderId="15" xfId="0" applyNumberFormat="1" applyFont="1" applyFill="1" applyBorder="1" applyAlignment="1" applyProtection="1">
      <alignment/>
      <protection locked="0"/>
    </xf>
    <xf numFmtId="43" fontId="41" fillId="2" borderId="15" xfId="0" applyNumberFormat="1" applyFont="1" applyFill="1" applyBorder="1" applyAlignment="1">
      <alignment/>
    </xf>
    <xf numFmtId="43" fontId="40" fillId="2" borderId="15" xfId="0" applyNumberFormat="1" applyFont="1" applyFill="1" applyBorder="1" applyAlignment="1">
      <alignment/>
    </xf>
    <xf numFmtId="43" fontId="39" fillId="2" borderId="15" xfId="0" applyNumberFormat="1" applyFont="1" applyFill="1" applyBorder="1" applyAlignment="1">
      <alignment/>
    </xf>
    <xf numFmtId="43" fontId="40" fillId="2" borderId="15" xfId="0" applyNumberFormat="1" applyFont="1" applyFill="1" applyBorder="1" applyAlignment="1" applyProtection="1">
      <alignment/>
      <protection locked="0"/>
    </xf>
    <xf numFmtId="43" fontId="0" fillId="2" borderId="17" xfId="0" applyNumberFormat="1" applyFont="1" applyFill="1" applyBorder="1" applyAlignment="1">
      <alignment horizontal="right" wrapText="1"/>
    </xf>
    <xf numFmtId="43" fontId="0" fillId="2" borderId="15" xfId="0" applyNumberFormat="1" applyFont="1" applyFill="1" applyBorder="1" applyAlignment="1">
      <alignment horizontal="right" wrapText="1"/>
    </xf>
    <xf numFmtId="10" fontId="0" fillId="2" borderId="15" xfId="0" applyNumberFormat="1" applyFont="1" applyFill="1" applyBorder="1" applyAlignment="1">
      <alignment wrapText="1"/>
    </xf>
    <xf numFmtId="43" fontId="0" fillId="2" borderId="15" xfId="0" applyNumberFormat="1" applyFont="1" applyFill="1" applyBorder="1" applyAlignment="1">
      <alignment vertical="top" wrapText="1"/>
    </xf>
    <xf numFmtId="10" fontId="0" fillId="2" borderId="15" xfId="0" applyNumberFormat="1" applyFont="1" applyFill="1" applyBorder="1" applyAlignment="1">
      <alignment horizontal="right" vertical="top" wrapText="1"/>
    </xf>
    <xf numFmtId="10" fontId="0" fillId="2" borderId="17" xfId="0" applyNumberFormat="1" applyFont="1" applyFill="1" applyBorder="1" applyAlignment="1">
      <alignment horizontal="right" vertical="top"/>
    </xf>
    <xf numFmtId="43" fontId="0" fillId="2" borderId="17" xfId="0" applyNumberFormat="1" applyFont="1" applyFill="1" applyBorder="1" applyAlignment="1">
      <alignment horizontal="right" vertical="top"/>
    </xf>
    <xf numFmtId="10" fontId="0" fillId="2" borderId="17" xfId="0" applyNumberFormat="1" applyFont="1" applyFill="1" applyBorder="1" applyAlignment="1">
      <alignment horizontal="right" vertical="top" wrapText="1"/>
    </xf>
    <xf numFmtId="43" fontId="0" fillId="2" borderId="17" xfId="0" applyNumberFormat="1" applyFont="1" applyFill="1" applyBorder="1" applyAlignment="1">
      <alignment horizontal="right"/>
    </xf>
    <xf numFmtId="43" fontId="0" fillId="2" borderId="25" xfId="0" applyNumberFormat="1" applyFont="1" applyFill="1" applyBorder="1" applyAlignment="1">
      <alignment horizontal="right"/>
    </xf>
    <xf numFmtId="177" fontId="44" fillId="2" borderId="17" xfId="0" applyNumberFormat="1" applyFont="1" applyFill="1" applyBorder="1" applyAlignment="1">
      <alignment wrapText="1"/>
    </xf>
    <xf numFmtId="10" fontId="44" fillId="2" borderId="17" xfId="0" applyNumberFormat="1" applyFont="1" applyFill="1" applyBorder="1" applyAlignment="1">
      <alignment wrapText="1"/>
    </xf>
    <xf numFmtId="177" fontId="44" fillId="2" borderId="17" xfId="0" applyNumberFormat="1" applyFont="1" applyFill="1" applyBorder="1" applyAlignment="1" applyProtection="1">
      <alignment wrapText="1"/>
      <protection locked="0"/>
    </xf>
    <xf numFmtId="177" fontId="44" fillId="2" borderId="25" xfId="0" applyNumberFormat="1" applyFont="1" applyFill="1" applyBorder="1" applyAlignment="1" applyProtection="1">
      <alignment wrapText="1"/>
      <protection locked="0"/>
    </xf>
    <xf numFmtId="10" fontId="44" fillId="2" borderId="25" xfId="0" applyNumberFormat="1" applyFont="1" applyFill="1" applyBorder="1" applyAlignment="1">
      <alignment wrapText="1"/>
    </xf>
    <xf numFmtId="177" fontId="44" fillId="2" borderId="25" xfId="0" applyNumberFormat="1" applyFont="1" applyFill="1" applyBorder="1" applyAlignment="1">
      <alignment wrapText="1"/>
    </xf>
    <xf numFmtId="177" fontId="44" fillId="41" borderId="17" xfId="0" applyNumberFormat="1" applyFont="1" applyFill="1" applyBorder="1" applyAlignment="1" applyProtection="1">
      <alignment wrapText="1"/>
      <protection locked="0"/>
    </xf>
    <xf numFmtId="10" fontId="0" fillId="0" borderId="22" xfId="0" applyNumberFormat="1" applyFont="1" applyFill="1" applyBorder="1" applyAlignment="1">
      <alignment horizontal="center" wrapText="1"/>
    </xf>
    <xf numFmtId="43" fontId="0" fillId="0" borderId="15" xfId="0" applyNumberFormat="1" applyFont="1" applyFill="1" applyBorder="1" applyAlignment="1">
      <alignment horizontal="center" wrapText="1"/>
    </xf>
    <xf numFmtId="0" fontId="47" fillId="0" borderId="0" xfId="0" applyFont="1" applyFill="1" applyAlignment="1">
      <alignment/>
    </xf>
    <xf numFmtId="0" fontId="47" fillId="34" borderId="0" xfId="0" applyFont="1" applyFill="1" applyAlignment="1">
      <alignment/>
    </xf>
    <xf numFmtId="0" fontId="7" fillId="0" borderId="0" xfId="0" applyFont="1" applyFill="1" applyAlignment="1" quotePrefix="1">
      <alignment/>
    </xf>
    <xf numFmtId="0" fontId="16" fillId="0" borderId="18" xfId="0" applyFont="1" applyFill="1" applyBorder="1" applyAlignment="1">
      <alignment vertical="top" wrapText="1"/>
    </xf>
    <xf numFmtId="0" fontId="17" fillId="0" borderId="18" xfId="0" applyFont="1" applyFill="1" applyBorder="1" applyAlignment="1">
      <alignment vertical="top" wrapText="1"/>
    </xf>
    <xf numFmtId="173" fontId="17" fillId="0" borderId="18" xfId="0" applyNumberFormat="1" applyFont="1" applyFill="1" applyBorder="1" applyAlignment="1">
      <alignment horizontal="right" vertical="top" wrapText="1"/>
    </xf>
    <xf numFmtId="0" fontId="6" fillId="41" borderId="17" xfId="0" applyFont="1" applyFill="1" applyBorder="1" applyAlignment="1">
      <alignment horizontal="center" vertical="center" wrapText="1"/>
    </xf>
    <xf numFmtId="0" fontId="6" fillId="41" borderId="25" xfId="0" applyFont="1" applyFill="1" applyBorder="1" applyAlignment="1">
      <alignment horizontal="center" vertical="center" wrapText="1"/>
    </xf>
    <xf numFmtId="0" fontId="6" fillId="41" borderId="15" xfId="0" applyFont="1" applyFill="1" applyBorder="1" applyAlignment="1">
      <alignment horizontal="center" vertical="center" wrapText="1"/>
    </xf>
    <xf numFmtId="0" fontId="17" fillId="41" borderId="0" xfId="0" applyFont="1" applyFill="1" applyBorder="1" applyAlignment="1">
      <alignment horizontal="left" vertical="center" wrapText="1"/>
    </xf>
    <xf numFmtId="43" fontId="17" fillId="41" borderId="29" xfId="0" applyNumberFormat="1" applyFont="1" applyFill="1" applyBorder="1" applyAlignment="1">
      <alignment horizontal="right" vertical="center" wrapText="1"/>
    </xf>
    <xf numFmtId="0" fontId="17" fillId="41" borderId="0" xfId="0" applyFont="1" applyFill="1" applyBorder="1" applyAlignment="1">
      <alignment vertical="top" wrapText="1"/>
    </xf>
    <xf numFmtId="43" fontId="17" fillId="41" borderId="29" xfId="0" applyNumberFormat="1" applyFont="1" applyFill="1" applyBorder="1" applyAlignment="1">
      <alignment vertical="top" wrapText="1"/>
    </xf>
    <xf numFmtId="43" fontId="17" fillId="41" borderId="17" xfId="0" applyNumberFormat="1" applyFont="1" applyFill="1" applyBorder="1" applyAlignment="1">
      <alignment vertical="top" wrapText="1"/>
    </xf>
    <xf numFmtId="43" fontId="17" fillId="41" borderId="29" xfId="0" applyNumberFormat="1" applyFont="1" applyFill="1" applyBorder="1" applyAlignment="1" applyProtection="1">
      <alignment vertical="top" wrapText="1"/>
      <protection locked="0"/>
    </xf>
    <xf numFmtId="43" fontId="17" fillId="41" borderId="17" xfId="0" applyNumberFormat="1" applyFont="1" applyFill="1" applyBorder="1" applyAlignment="1" applyProtection="1">
      <alignment vertical="top" wrapText="1"/>
      <protection locked="0"/>
    </xf>
    <xf numFmtId="43" fontId="17" fillId="41" borderId="30" xfId="0" applyNumberFormat="1" applyFont="1" applyFill="1" applyBorder="1" applyAlignment="1" applyProtection="1">
      <alignment vertical="top" wrapText="1"/>
      <protection locked="0"/>
    </xf>
    <xf numFmtId="43" fontId="17" fillId="41" borderId="25" xfId="0" applyNumberFormat="1" applyFont="1" applyFill="1" applyBorder="1" applyAlignment="1" applyProtection="1">
      <alignment vertical="top" wrapText="1"/>
      <protection locked="0"/>
    </xf>
    <xf numFmtId="43" fontId="17" fillId="41" borderId="30" xfId="0" applyNumberFormat="1" applyFont="1" applyFill="1" applyBorder="1" applyAlignment="1">
      <alignment vertical="top" wrapText="1"/>
    </xf>
    <xf numFmtId="0" fontId="17" fillId="41" borderId="17" xfId="0" applyFont="1" applyFill="1" applyBorder="1" applyAlignment="1">
      <alignment vertical="top" wrapText="1"/>
    </xf>
    <xf numFmtId="0" fontId="17" fillId="41" borderId="17" xfId="0" applyFont="1" applyFill="1" applyBorder="1" applyAlignment="1" applyProtection="1">
      <alignment vertical="top" wrapText="1"/>
      <protection locked="0"/>
    </xf>
    <xf numFmtId="0" fontId="17" fillId="41" borderId="28" xfId="0" applyFont="1" applyFill="1" applyBorder="1" applyAlignment="1" applyProtection="1">
      <alignment vertical="top" wrapText="1"/>
      <protection locked="0"/>
    </xf>
    <xf numFmtId="177" fontId="17" fillId="41" borderId="17" xfId="0" applyNumberFormat="1" applyFont="1" applyFill="1" applyBorder="1" applyAlignment="1">
      <alignment vertical="top" wrapText="1"/>
    </xf>
    <xf numFmtId="177" fontId="17" fillId="41" borderId="29" xfId="0" applyNumberFormat="1" applyFont="1" applyFill="1" applyBorder="1" applyAlignment="1">
      <alignment vertical="top" wrapText="1"/>
    </xf>
    <xf numFmtId="177" fontId="17" fillId="41" borderId="17" xfId="0" applyNumberFormat="1" applyFont="1" applyFill="1" applyBorder="1" applyAlignment="1" applyProtection="1">
      <alignment vertical="top" wrapText="1"/>
      <protection locked="0"/>
    </xf>
    <xf numFmtId="177" fontId="17" fillId="41" borderId="29" xfId="0" applyNumberFormat="1" applyFont="1" applyFill="1" applyBorder="1" applyAlignment="1" applyProtection="1">
      <alignment vertical="top" wrapText="1"/>
      <protection locked="0"/>
    </xf>
    <xf numFmtId="0" fontId="17" fillId="41" borderId="25" xfId="0" applyFont="1" applyFill="1" applyBorder="1" applyAlignment="1">
      <alignment vertical="top" wrapText="1"/>
    </xf>
    <xf numFmtId="177" fontId="17" fillId="41" borderId="25" xfId="0" applyNumberFormat="1" applyFont="1" applyFill="1" applyBorder="1" applyAlignment="1" applyProtection="1">
      <alignment vertical="top" wrapText="1"/>
      <protection locked="0"/>
    </xf>
    <xf numFmtId="177" fontId="17" fillId="41" borderId="30" xfId="0" applyNumberFormat="1" applyFont="1" applyFill="1" applyBorder="1" applyAlignment="1" applyProtection="1">
      <alignment vertical="top" wrapText="1"/>
      <protection locked="0"/>
    </xf>
    <xf numFmtId="177" fontId="17" fillId="41" borderId="25" xfId="0" applyNumberFormat="1" applyFont="1" applyFill="1" applyBorder="1" applyAlignment="1">
      <alignment vertical="top" wrapText="1"/>
    </xf>
    <xf numFmtId="177" fontId="17" fillId="41" borderId="15" xfId="0" applyNumberFormat="1" applyFont="1" applyFill="1" applyBorder="1" applyAlignment="1">
      <alignment vertical="top" wrapText="1"/>
    </xf>
    <xf numFmtId="177" fontId="17" fillId="41" borderId="30" xfId="0" applyNumberFormat="1" applyFont="1" applyFill="1" applyBorder="1" applyAlignment="1">
      <alignment vertical="top" wrapText="1"/>
    </xf>
    <xf numFmtId="0" fontId="5" fillId="36" borderId="40" xfId="51" applyFont="1" applyFill="1" applyBorder="1" applyAlignment="1">
      <alignment vertical="center"/>
      <protection/>
    </xf>
    <xf numFmtId="10" fontId="0" fillId="42" borderId="15" xfId="0" applyNumberFormat="1" applyFont="1" applyFill="1" applyBorder="1" applyAlignment="1">
      <alignment horizontal="center"/>
    </xf>
    <xf numFmtId="43" fontId="0" fillId="41" borderId="17" xfId="0" applyNumberFormat="1" applyFont="1" applyFill="1" applyBorder="1" applyAlignment="1" applyProtection="1">
      <alignment horizontal="right"/>
      <protection locked="0"/>
    </xf>
    <xf numFmtId="43" fontId="0" fillId="41" borderId="25" xfId="0" applyNumberFormat="1" applyFont="1" applyFill="1" applyBorder="1" applyAlignment="1" applyProtection="1">
      <alignment horizontal="right"/>
      <protection locked="0"/>
    </xf>
    <xf numFmtId="43" fontId="17" fillId="45" borderId="28" xfId="0" applyNumberFormat="1" applyFont="1" applyFill="1" applyBorder="1" applyAlignment="1">
      <alignment horizontal="center" vertical="center" wrapText="1"/>
    </xf>
    <xf numFmtId="43" fontId="17" fillId="45" borderId="17" xfId="0" applyNumberFormat="1" applyFont="1" applyFill="1" applyBorder="1" applyAlignment="1">
      <alignment horizontal="center" vertical="center" wrapText="1"/>
    </xf>
    <xf numFmtId="0" fontId="39" fillId="0" borderId="0" xfId="0" applyNumberFormat="1" applyFont="1" applyBorder="1" applyAlignment="1">
      <alignment/>
    </xf>
    <xf numFmtId="43" fontId="39" fillId="45" borderId="0" xfId="0" applyNumberFormat="1" applyFont="1" applyFill="1" applyBorder="1" applyAlignment="1">
      <alignment/>
    </xf>
    <xf numFmtId="0" fontId="6" fillId="36" borderId="15" xfId="0" applyFont="1" applyFill="1" applyBorder="1" applyAlignment="1">
      <alignment horizontal="center" vertical="center" wrapText="1"/>
    </xf>
    <xf numFmtId="10" fontId="0" fillId="0" borderId="0" xfId="0" applyNumberFormat="1" applyFont="1" applyAlignment="1">
      <alignment/>
    </xf>
    <xf numFmtId="49" fontId="33" fillId="37" borderId="26" xfId="0" applyNumberFormat="1" applyFont="1" applyFill="1" applyBorder="1" applyAlignment="1" applyProtection="1">
      <alignment vertical="center"/>
      <protection/>
    </xf>
    <xf numFmtId="1" fontId="33" fillId="36" borderId="15" xfId="64" applyNumberFormat="1" applyFont="1" applyFill="1" applyBorder="1" applyAlignment="1" applyProtection="1">
      <alignment horizontal="center" vertical="center" wrapText="1"/>
      <protection/>
    </xf>
    <xf numFmtId="43" fontId="34" fillId="36" borderId="15" xfId="64" applyNumberFormat="1" applyFont="1" applyFill="1" applyBorder="1" applyAlignment="1" applyProtection="1">
      <alignment horizontal="left" vertical="center" indent="2"/>
      <protection/>
    </xf>
    <xf numFmtId="0" fontId="6" fillId="41" borderId="27" xfId="0" applyFont="1" applyFill="1" applyBorder="1" applyAlignment="1">
      <alignment vertical="top" wrapText="1"/>
    </xf>
    <xf numFmtId="0" fontId="6" fillId="41" borderId="25" xfId="0" applyFont="1" applyFill="1" applyBorder="1" applyAlignment="1">
      <alignment vertical="top" wrapText="1"/>
    </xf>
    <xf numFmtId="0" fontId="2" fillId="0" borderId="0" xfId="50" applyFont="1">
      <alignment/>
      <protection/>
    </xf>
    <xf numFmtId="0" fontId="2" fillId="0" borderId="0" xfId="50" applyFont="1" applyAlignment="1">
      <alignment horizontal="center" vertical="center"/>
      <protection/>
    </xf>
    <xf numFmtId="0" fontId="0" fillId="0" borderId="0" xfId="50" applyFont="1">
      <alignment/>
      <protection/>
    </xf>
    <xf numFmtId="0" fontId="0" fillId="0" borderId="43" xfId="50" applyFont="1" applyBorder="1" applyAlignment="1">
      <alignment horizontal="left" wrapText="1"/>
      <protection/>
    </xf>
    <xf numFmtId="0" fontId="5" fillId="46" borderId="51" xfId="50" applyFont="1" applyFill="1" applyBorder="1" applyAlignment="1">
      <alignment horizontal="center" vertical="top" wrapText="1"/>
      <protection/>
    </xf>
    <xf numFmtId="0" fontId="5" fillId="46" borderId="52" xfId="50" applyFont="1" applyFill="1" applyBorder="1" applyAlignment="1">
      <alignment horizontal="center" vertical="top" wrapText="1"/>
      <protection/>
    </xf>
    <xf numFmtId="0" fontId="5" fillId="46" borderId="51" xfId="50" applyFont="1" applyFill="1" applyBorder="1" applyAlignment="1">
      <alignment horizontal="center" wrapText="1"/>
      <protection/>
    </xf>
    <xf numFmtId="0" fontId="5" fillId="46" borderId="53" xfId="50" applyFont="1" applyFill="1" applyBorder="1" applyAlignment="1">
      <alignment horizontal="center" vertical="top" wrapText="1"/>
      <protection/>
    </xf>
    <xf numFmtId="0" fontId="5" fillId="46" borderId="54" xfId="50" applyFont="1" applyFill="1" applyBorder="1" applyAlignment="1">
      <alignment horizontal="center" vertical="top" wrapText="1"/>
      <protection/>
    </xf>
    <xf numFmtId="0" fontId="5" fillId="46" borderId="55" xfId="50" applyFont="1" applyFill="1" applyBorder="1" applyAlignment="1">
      <alignment horizontal="center" vertical="top" wrapText="1"/>
      <protection/>
    </xf>
    <xf numFmtId="0" fontId="5" fillId="46" borderId="56" xfId="50" applyFont="1" applyFill="1" applyBorder="1" applyAlignment="1">
      <alignment vertical="top" wrapText="1"/>
      <protection/>
    </xf>
    <xf numFmtId="0" fontId="5" fillId="46" borderId="56" xfId="50" applyFont="1" applyFill="1" applyBorder="1" applyAlignment="1">
      <alignment horizontal="center" vertical="top" wrapText="1"/>
      <protection/>
    </xf>
    <xf numFmtId="0" fontId="5" fillId="46" borderId="55" xfId="50" applyFont="1" applyFill="1" applyBorder="1" applyAlignment="1">
      <alignment horizontal="center" wrapText="1"/>
      <protection/>
    </xf>
    <xf numFmtId="0" fontId="0" fillId="0" borderId="17" xfId="50" applyFont="1" applyBorder="1" applyAlignment="1">
      <alignment wrapText="1"/>
      <protection/>
    </xf>
    <xf numFmtId="0" fontId="0" fillId="0" borderId="17" xfId="50" applyFont="1" applyBorder="1" applyAlignment="1">
      <alignment horizontal="left" wrapText="1" indent="1"/>
      <protection/>
    </xf>
    <xf numFmtId="0" fontId="0" fillId="0" borderId="17" xfId="50" applyFont="1" applyBorder="1" applyAlignment="1">
      <alignment horizontal="left" wrapText="1" indent="2"/>
      <protection/>
    </xf>
    <xf numFmtId="0" fontId="0" fillId="0" borderId="17" xfId="50" applyFont="1" applyBorder="1" applyAlignment="1">
      <alignment horizontal="left" indent="2"/>
      <protection/>
    </xf>
    <xf numFmtId="0" fontId="0" fillId="0" borderId="17" xfId="50" applyFont="1" applyBorder="1" applyAlignment="1">
      <alignment horizontal="left" indent="1"/>
      <protection/>
    </xf>
    <xf numFmtId="0" fontId="0" fillId="0" borderId="25" xfId="50" applyFont="1" applyBorder="1" applyAlignment="1">
      <alignment wrapText="1"/>
      <protection/>
    </xf>
    <xf numFmtId="0" fontId="98" fillId="0" borderId="0" xfId="50" applyFont="1">
      <alignment/>
      <protection/>
    </xf>
    <xf numFmtId="169" fontId="32" fillId="0" borderId="0" xfId="0" applyNumberFormat="1" applyFont="1" applyFill="1" applyAlignment="1">
      <alignment/>
    </xf>
    <xf numFmtId="43" fontId="40" fillId="40" borderId="15" xfId="0" applyNumberFormat="1" applyFont="1" applyFill="1" applyBorder="1" applyAlignment="1">
      <alignment/>
    </xf>
    <xf numFmtId="10" fontId="0" fillId="0" borderId="15" xfId="50" applyNumberFormat="1" applyFont="1" applyBorder="1" applyAlignment="1">
      <alignment wrapText="1"/>
      <protection/>
    </xf>
    <xf numFmtId="0" fontId="5" fillId="46" borderId="15" xfId="50" applyFont="1" applyFill="1" applyBorder="1" applyAlignment="1">
      <alignment horizontal="center" wrapText="1"/>
      <protection/>
    </xf>
    <xf numFmtId="0" fontId="5" fillId="46" borderId="15" xfId="50" applyFont="1" applyFill="1" applyBorder="1" applyAlignment="1">
      <alignment horizontal="center" vertical="top" wrapText="1"/>
      <protection/>
    </xf>
    <xf numFmtId="0" fontId="17" fillId="47" borderId="51" xfId="0" applyFont="1" applyFill="1" applyBorder="1" applyAlignment="1">
      <alignment horizontal="center" vertical="top" wrapText="1"/>
    </xf>
    <xf numFmtId="0" fontId="17" fillId="47" borderId="52" xfId="0" applyFont="1" applyFill="1" applyBorder="1" applyAlignment="1">
      <alignment horizontal="center" vertical="top" wrapText="1"/>
    </xf>
    <xf numFmtId="0" fontId="17" fillId="47" borderId="51" xfId="0" applyFont="1" applyFill="1" applyBorder="1" applyAlignment="1">
      <alignment horizontal="center" wrapText="1"/>
    </xf>
    <xf numFmtId="0" fontId="17" fillId="47" borderId="53" xfId="0" applyFont="1" applyFill="1" applyBorder="1" applyAlignment="1">
      <alignment horizontal="center" vertical="top" wrapText="1"/>
    </xf>
    <xf numFmtId="0" fontId="17" fillId="47" borderId="54" xfId="0" applyFont="1" applyFill="1" applyBorder="1" applyAlignment="1">
      <alignment horizontal="center" vertical="top" wrapText="1"/>
    </xf>
    <xf numFmtId="0" fontId="17" fillId="47" borderId="53" xfId="0" applyFont="1" applyFill="1" applyBorder="1" applyAlignment="1">
      <alignment horizontal="center" wrapText="1"/>
    </xf>
    <xf numFmtId="0" fontId="17" fillId="47" borderId="57" xfId="0" applyFont="1" applyFill="1" applyBorder="1" applyAlignment="1">
      <alignment horizontal="center" vertical="top" wrapText="1"/>
    </xf>
    <xf numFmtId="0" fontId="17" fillId="47" borderId="56" xfId="0" applyFont="1" applyFill="1" applyBorder="1" applyAlignment="1">
      <alignment vertical="top" wrapText="1"/>
    </xf>
    <xf numFmtId="0" fontId="17" fillId="47" borderId="56" xfId="0" applyFont="1" applyFill="1" applyBorder="1" applyAlignment="1">
      <alignment horizontal="center" vertical="top" wrapText="1"/>
    </xf>
    <xf numFmtId="0" fontId="17" fillId="47" borderId="55" xfId="0" applyFont="1" applyFill="1" applyBorder="1" applyAlignment="1">
      <alignment horizontal="center" wrapText="1"/>
    </xf>
    <xf numFmtId="0" fontId="17" fillId="47" borderId="0" xfId="0" applyFont="1" applyFill="1" applyBorder="1" applyAlignment="1">
      <alignment wrapText="1"/>
    </xf>
    <xf numFmtId="43" fontId="17" fillId="48" borderId="28" xfId="0" applyNumberFormat="1" applyFont="1" applyFill="1" applyBorder="1" applyAlignment="1">
      <alignment wrapText="1"/>
    </xf>
    <xf numFmtId="4" fontId="17" fillId="48" borderId="28" xfId="0" applyNumberFormat="1" applyFont="1" applyFill="1" applyBorder="1" applyAlignment="1">
      <alignment wrapText="1"/>
    </xf>
    <xf numFmtId="43" fontId="17" fillId="48" borderId="29" xfId="0" applyNumberFormat="1" applyFont="1" applyFill="1" applyBorder="1" applyAlignment="1">
      <alignment wrapText="1"/>
    </xf>
    <xf numFmtId="4" fontId="17" fillId="48" borderId="29" xfId="0" applyNumberFormat="1" applyFont="1" applyFill="1" applyBorder="1" applyAlignment="1">
      <alignment wrapText="1"/>
    </xf>
    <xf numFmtId="43" fontId="17" fillId="48" borderId="30" xfId="0" applyNumberFormat="1" applyFont="1" applyFill="1" applyBorder="1" applyAlignment="1">
      <alignment wrapText="1"/>
    </xf>
    <xf numFmtId="4" fontId="17" fillId="48" borderId="30" xfId="0" applyNumberFormat="1" applyFont="1" applyFill="1" applyBorder="1" applyAlignment="1">
      <alignment wrapText="1"/>
    </xf>
    <xf numFmtId="0" fontId="5" fillId="0" borderId="0" xfId="0" applyFont="1" applyFill="1" applyBorder="1" applyAlignment="1">
      <alignment horizontal="left"/>
    </xf>
    <xf numFmtId="168" fontId="5" fillId="0" borderId="15" xfId="0" applyNumberFormat="1" applyFont="1" applyFill="1" applyBorder="1" applyAlignment="1">
      <alignment horizontal="left"/>
    </xf>
    <xf numFmtId="43" fontId="0" fillId="0" borderId="0" xfId="0" applyNumberFormat="1" applyFont="1" applyAlignment="1">
      <alignment/>
    </xf>
    <xf numFmtId="0" fontId="70" fillId="0" borderId="0" xfId="0" applyFont="1" applyAlignment="1">
      <alignment/>
    </xf>
    <xf numFmtId="49" fontId="70" fillId="0" borderId="0" xfId="0" applyNumberFormat="1" applyFont="1" applyAlignment="1">
      <alignment/>
    </xf>
    <xf numFmtId="0" fontId="70" fillId="0" borderId="0" xfId="0" applyFont="1" applyAlignment="1">
      <alignment vertical="center"/>
    </xf>
    <xf numFmtId="0" fontId="71" fillId="46" borderId="25" xfId="0" applyFont="1" applyFill="1" applyBorder="1" applyAlignment="1">
      <alignment vertical="center"/>
    </xf>
    <xf numFmtId="0" fontId="71" fillId="46" borderId="15" xfId="0" applyFont="1" applyFill="1" applyBorder="1" applyAlignment="1">
      <alignment horizontal="center" vertical="center" wrapText="1"/>
    </xf>
    <xf numFmtId="0" fontId="70" fillId="0" borderId="41" xfId="0" applyFont="1" applyBorder="1" applyAlignment="1">
      <alignment/>
    </xf>
    <xf numFmtId="0" fontId="70" fillId="0" borderId="16" xfId="0" applyFont="1" applyBorder="1" applyAlignment="1">
      <alignment/>
    </xf>
    <xf numFmtId="0" fontId="70" fillId="0" borderId="29" xfId="0" applyFont="1" applyBorder="1" applyAlignment="1">
      <alignment horizontal="center"/>
    </xf>
    <xf numFmtId="0" fontId="70" fillId="0" borderId="0" xfId="0" applyFont="1" applyAlignment="1">
      <alignment horizontal="left" indent="1"/>
    </xf>
    <xf numFmtId="0" fontId="70" fillId="0" borderId="41" xfId="0" applyFont="1" applyBorder="1" applyAlignment="1">
      <alignment wrapText="1"/>
    </xf>
    <xf numFmtId="0" fontId="70" fillId="0" borderId="0" xfId="0" applyFont="1" applyAlignment="1">
      <alignment wrapText="1"/>
    </xf>
    <xf numFmtId="0" fontId="70" fillId="0" borderId="29" xfId="0" applyFont="1" applyBorder="1" applyAlignment="1">
      <alignment wrapText="1"/>
    </xf>
    <xf numFmtId="0" fontId="70" fillId="0" borderId="0" xfId="0" applyFont="1" applyAlignment="1">
      <alignment horizontal="left" indent="2"/>
    </xf>
    <xf numFmtId="0" fontId="70" fillId="0" borderId="0" xfId="0" applyFont="1" applyAlignment="1">
      <alignment horizontal="left" indent="3"/>
    </xf>
    <xf numFmtId="0" fontId="70" fillId="0" borderId="0" xfId="50" applyFont="1" applyAlignment="1">
      <alignment horizontal="left" wrapText="1" indent="2"/>
      <protection/>
    </xf>
    <xf numFmtId="0" fontId="71" fillId="46" borderId="26" xfId="0" applyFont="1" applyFill="1" applyBorder="1" applyAlignment="1">
      <alignment/>
    </xf>
    <xf numFmtId="0" fontId="71" fillId="46" borderId="58" xfId="0" applyFont="1" applyFill="1" applyBorder="1" applyAlignment="1">
      <alignment/>
    </xf>
    <xf numFmtId="0" fontId="70" fillId="46" borderId="26" xfId="0" applyFont="1" applyFill="1" applyBorder="1" applyAlignment="1">
      <alignment wrapText="1"/>
    </xf>
    <xf numFmtId="0" fontId="70" fillId="46" borderId="15" xfId="0" applyFont="1" applyFill="1" applyBorder="1" applyAlignment="1">
      <alignment wrapText="1"/>
    </xf>
    <xf numFmtId="37" fontId="71" fillId="46" borderId="40" xfId="0" applyNumberFormat="1" applyFont="1" applyFill="1" applyBorder="1" applyAlignment="1">
      <alignment vertical="center"/>
    </xf>
    <xf numFmtId="0" fontId="71" fillId="46" borderId="58" xfId="0" applyFont="1" applyFill="1" applyBorder="1" applyAlignment="1">
      <alignment horizontal="center" vertical="center" wrapText="1"/>
    </xf>
    <xf numFmtId="49" fontId="70" fillId="0" borderId="0" xfId="0" applyNumberFormat="1" applyFont="1" applyAlignment="1">
      <alignment horizontal="left" vertical="center" indent="2"/>
    </xf>
    <xf numFmtId="49" fontId="70" fillId="0" borderId="0" xfId="0" applyNumberFormat="1" applyFont="1" applyAlignment="1">
      <alignment horizontal="left" vertical="center" indent="1"/>
    </xf>
    <xf numFmtId="49" fontId="71" fillId="46" borderId="26" xfId="0" applyNumberFormat="1" applyFont="1" applyFill="1" applyBorder="1" applyAlignment="1">
      <alignment vertical="center"/>
    </xf>
    <xf numFmtId="0" fontId="70" fillId="46" borderId="58" xfId="0" applyFont="1" applyFill="1" applyBorder="1" applyAlignment="1">
      <alignment vertical="center" wrapText="1"/>
    </xf>
    <xf numFmtId="37" fontId="71" fillId="46" borderId="58" xfId="0" applyNumberFormat="1" applyFont="1" applyFill="1" applyBorder="1" applyAlignment="1">
      <alignment/>
    </xf>
    <xf numFmtId="37" fontId="71" fillId="46" borderId="26" xfId="0" applyNumberFormat="1" applyFont="1" applyFill="1" applyBorder="1" applyAlignment="1">
      <alignment/>
    </xf>
    <xf numFmtId="49" fontId="70" fillId="0" borderId="26" xfId="0" applyNumberFormat="1" applyFont="1" applyBorder="1" applyAlignment="1">
      <alignment vertical="center"/>
    </xf>
    <xf numFmtId="37" fontId="71" fillId="0" borderId="26" xfId="0" applyNumberFormat="1" applyFont="1" applyBorder="1" applyAlignment="1">
      <alignment/>
    </xf>
    <xf numFmtId="0" fontId="70" fillId="0" borderId="27" xfId="0" applyFont="1" applyBorder="1" applyAlignment="1">
      <alignment vertical="center" wrapText="1"/>
    </xf>
    <xf numFmtId="49" fontId="71" fillId="46" borderId="40" xfId="0" applyNumberFormat="1" applyFont="1" applyFill="1" applyBorder="1" applyAlignment="1">
      <alignment horizontal="justify" vertical="center"/>
    </xf>
    <xf numFmtId="0" fontId="70" fillId="46" borderId="58" xfId="0" applyFont="1" applyFill="1" applyBorder="1" applyAlignment="1">
      <alignment horizontal="center" vertical="center" wrapText="1"/>
    </xf>
    <xf numFmtId="49" fontId="71" fillId="0" borderId="0" xfId="0" applyNumberFormat="1" applyFont="1" applyAlignment="1">
      <alignment horizontal="justify" vertical="center"/>
    </xf>
    <xf numFmtId="37" fontId="70" fillId="0" borderId="0" xfId="0" applyNumberFormat="1" applyFont="1" applyAlignment="1">
      <alignment horizontal="center"/>
    </xf>
    <xf numFmtId="0" fontId="70" fillId="0" borderId="0" xfId="0" applyFont="1" applyAlignment="1">
      <alignment horizontal="center" vertical="center" wrapText="1"/>
    </xf>
    <xf numFmtId="0" fontId="71" fillId="46" borderId="40" xfId="0" applyFont="1" applyFill="1" applyBorder="1" applyAlignment="1">
      <alignment vertical="center" wrapText="1"/>
    </xf>
    <xf numFmtId="0" fontId="71" fillId="0" borderId="0" xfId="0" applyFont="1" applyAlignment="1">
      <alignment horizontal="left" wrapText="1"/>
    </xf>
    <xf numFmtId="0" fontId="70" fillId="0" borderId="0" xfId="0" applyFont="1" applyAlignment="1">
      <alignment horizontal="left"/>
    </xf>
    <xf numFmtId="0" fontId="70" fillId="0" borderId="25" xfId="0" applyFont="1" applyBorder="1" applyAlignment="1">
      <alignment vertical="top" wrapText="1"/>
    </xf>
    <xf numFmtId="0" fontId="70" fillId="0" borderId="0" xfId="0" applyFont="1" applyAlignment="1">
      <alignment vertical="top" wrapText="1"/>
    </xf>
    <xf numFmtId="0" fontId="70" fillId="0" borderId="0" xfId="0" applyFont="1" applyAlignment="1">
      <alignment vertical="center" wrapText="1"/>
    </xf>
    <xf numFmtId="0" fontId="71" fillId="46" borderId="58" xfId="0" applyFont="1" applyFill="1" applyBorder="1" applyAlignment="1">
      <alignment horizontal="center" wrapText="1"/>
    </xf>
    <xf numFmtId="0" fontId="70" fillId="0" borderId="26" xfId="0" applyFont="1" applyBorder="1" applyAlignment="1">
      <alignment vertical="top" wrapText="1"/>
    </xf>
    <xf numFmtId="0" fontId="70" fillId="0" borderId="58" xfId="0" applyFont="1" applyBorder="1" applyAlignment="1">
      <alignment vertical="top" wrapText="1"/>
    </xf>
    <xf numFmtId="37" fontId="70" fillId="0" borderId="0" xfId="0" applyNumberFormat="1" applyFont="1" applyAlignment="1">
      <alignment vertical="center"/>
    </xf>
    <xf numFmtId="37" fontId="70" fillId="0" borderId="0" xfId="0" applyNumberFormat="1" applyFont="1" applyAlignment="1">
      <alignment/>
    </xf>
    <xf numFmtId="0" fontId="71" fillId="46" borderId="28" xfId="0" applyFont="1" applyFill="1" applyBorder="1" applyAlignment="1">
      <alignment horizontal="center" vertical="center"/>
    </xf>
    <xf numFmtId="0" fontId="70" fillId="0" borderId="0" xfId="0" applyFont="1" applyAlignment="1">
      <alignment horizontal="left" vertical="top" wrapText="1"/>
    </xf>
    <xf numFmtId="0" fontId="70" fillId="0" borderId="59" xfId="0" applyFont="1" applyBorder="1" applyAlignment="1">
      <alignment horizontal="center" vertical="top" wrapText="1"/>
    </xf>
    <xf numFmtId="0" fontId="70" fillId="0" borderId="0" xfId="0" applyFont="1" applyAlignment="1">
      <alignment horizontal="right" vertical="top" wrapText="1"/>
    </xf>
    <xf numFmtId="0" fontId="70" fillId="0" borderId="28" xfId="0" applyFont="1" applyBorder="1" applyAlignment="1">
      <alignment horizontal="right" vertical="top" wrapText="1"/>
    </xf>
    <xf numFmtId="0" fontId="70" fillId="0" borderId="17" xfId="0" applyFont="1" applyBorder="1" applyAlignment="1">
      <alignment horizontal="left" vertical="top" wrapText="1"/>
    </xf>
    <xf numFmtId="0" fontId="70" fillId="0" borderId="41" xfId="0" applyFont="1" applyBorder="1" applyAlignment="1">
      <alignment horizontal="center" vertical="top" wrapText="1"/>
    </xf>
    <xf numFmtId="0" fontId="70" fillId="0" borderId="29" xfId="0" applyFont="1" applyBorder="1" applyAlignment="1">
      <alignment horizontal="right" vertical="top" wrapText="1"/>
    </xf>
    <xf numFmtId="0" fontId="70" fillId="0" borderId="25" xfId="0" applyFont="1" applyBorder="1" applyAlignment="1">
      <alignment horizontal="justify" vertical="top" wrapText="1"/>
    </xf>
    <xf numFmtId="0" fontId="70" fillId="0" borderId="60" xfId="0" applyFont="1" applyBorder="1" applyAlignment="1">
      <alignment horizontal="center" vertical="top" wrapText="1"/>
    </xf>
    <xf numFmtId="0" fontId="70" fillId="0" borderId="27" xfId="0" applyFont="1" applyBorder="1" applyAlignment="1">
      <alignment horizontal="right" vertical="top" wrapText="1"/>
    </xf>
    <xf numFmtId="0" fontId="70" fillId="0" borderId="30" xfId="0" applyFont="1" applyBorder="1" applyAlignment="1">
      <alignment horizontal="right" vertical="top" wrapText="1"/>
    </xf>
    <xf numFmtId="0" fontId="70" fillId="0" borderId="27" xfId="0" applyFont="1" applyBorder="1" applyAlignment="1">
      <alignment/>
    </xf>
    <xf numFmtId="0" fontId="70" fillId="0" borderId="0" xfId="0" applyFont="1" applyAlignment="1">
      <alignment horizontal="center" vertical="top" wrapText="1"/>
    </xf>
    <xf numFmtId="0" fontId="71" fillId="46" borderId="16" xfId="0" applyFont="1" applyFill="1" applyBorder="1" applyAlignment="1">
      <alignment vertical="center" wrapText="1"/>
    </xf>
    <xf numFmtId="0" fontId="71" fillId="46" borderId="59" xfId="0" applyFont="1" applyFill="1" applyBorder="1" applyAlignment="1">
      <alignment horizontal="center" vertical="center" wrapText="1"/>
    </xf>
    <xf numFmtId="0" fontId="70" fillId="0" borderId="16" xfId="0" applyFont="1" applyBorder="1" applyAlignment="1">
      <alignment wrapText="1"/>
    </xf>
    <xf numFmtId="0" fontId="70" fillId="0" borderId="59" xfId="0" applyFont="1" applyBorder="1" applyAlignment="1">
      <alignment wrapText="1"/>
    </xf>
    <xf numFmtId="0" fontId="70" fillId="0" borderId="25" xfId="0" applyFont="1" applyBorder="1" applyAlignment="1">
      <alignment wrapText="1"/>
    </xf>
    <xf numFmtId="0" fontId="70" fillId="0" borderId="60" xfId="0" applyFont="1" applyBorder="1" applyAlignment="1">
      <alignment wrapText="1"/>
    </xf>
    <xf numFmtId="0" fontId="70" fillId="0" borderId="27" xfId="0" applyFont="1" applyBorder="1" applyAlignment="1">
      <alignment wrapText="1"/>
    </xf>
    <xf numFmtId="0" fontId="70" fillId="0" borderId="0" xfId="0" applyFont="1" applyAlignment="1">
      <alignment vertical="top"/>
    </xf>
    <xf numFmtId="37" fontId="70" fillId="0" borderId="0" xfId="0" applyNumberFormat="1" applyFont="1" applyAlignment="1">
      <alignment vertical="center" wrapText="1"/>
    </xf>
    <xf numFmtId="0" fontId="71" fillId="46" borderId="15" xfId="0" applyFont="1" applyFill="1" applyBorder="1" applyAlignment="1">
      <alignment vertical="center"/>
    </xf>
    <xf numFmtId="0" fontId="71" fillId="46" borderId="26" xfId="0" applyFont="1" applyFill="1" applyBorder="1" applyAlignment="1">
      <alignment vertical="center"/>
    </xf>
    <xf numFmtId="0" fontId="71" fillId="46" borderId="58" xfId="0" applyFont="1" applyFill="1" applyBorder="1" applyAlignment="1">
      <alignment vertical="center"/>
    </xf>
    <xf numFmtId="0" fontId="70" fillId="46" borderId="26" xfId="0" applyFont="1" applyFill="1" applyBorder="1" applyAlignment="1">
      <alignment vertical="center" wrapText="1"/>
    </xf>
    <xf numFmtId="0" fontId="70" fillId="46" borderId="15" xfId="0" applyFont="1" applyFill="1" applyBorder="1" applyAlignment="1">
      <alignment vertical="center" wrapText="1"/>
    </xf>
    <xf numFmtId="0" fontId="70" fillId="0" borderId="41" xfId="0" applyFont="1" applyBorder="1" applyAlignment="1">
      <alignment vertical="center"/>
    </xf>
    <xf numFmtId="0" fontId="70" fillId="46" borderId="58" xfId="0" applyFont="1" applyFill="1" applyBorder="1" applyAlignment="1">
      <alignment horizontal="center" vertical="center"/>
    </xf>
    <xf numFmtId="0" fontId="71" fillId="46" borderId="58" xfId="0" applyFont="1" applyFill="1" applyBorder="1" applyAlignment="1">
      <alignment horizontal="center" vertical="center"/>
    </xf>
    <xf numFmtId="0" fontId="70" fillId="0" borderId="59" xfId="0" applyFont="1" applyBorder="1" applyAlignment="1">
      <alignment horizontal="right" vertical="top" wrapText="1"/>
    </xf>
    <xf numFmtId="0" fontId="70" fillId="0" borderId="25" xfId="0" applyFont="1" applyBorder="1" applyAlignment="1">
      <alignment horizontal="left" vertical="top" wrapText="1"/>
    </xf>
    <xf numFmtId="0" fontId="70" fillId="0" borderId="60" xfId="0" applyFont="1" applyBorder="1" applyAlignment="1">
      <alignment horizontal="right" vertical="top" wrapText="1"/>
    </xf>
    <xf numFmtId="0" fontId="70" fillId="0" borderId="0" xfId="0" applyFont="1" applyBorder="1" applyAlignment="1">
      <alignment horizontal="left" vertical="top" wrapText="1"/>
    </xf>
    <xf numFmtId="0" fontId="70" fillId="0" borderId="0" xfId="0" applyFont="1" applyBorder="1" applyAlignment="1">
      <alignment horizontal="center" vertical="top" wrapText="1"/>
    </xf>
    <xf numFmtId="0" fontId="70" fillId="0" borderId="0" xfId="0" applyFont="1" applyBorder="1" applyAlignment="1">
      <alignment horizontal="right" vertical="top" wrapText="1"/>
    </xf>
    <xf numFmtId="0" fontId="70" fillId="0" borderId="0" xfId="0" applyFont="1" applyBorder="1" applyAlignment="1">
      <alignment/>
    </xf>
    <xf numFmtId="0" fontId="70" fillId="0" borderId="58" xfId="0" applyFont="1" applyBorder="1" applyAlignment="1">
      <alignment horizontal="right" vertical="top" wrapText="1"/>
    </xf>
    <xf numFmtId="0" fontId="70" fillId="0" borderId="0" xfId="0" applyFont="1" applyFill="1" applyBorder="1" applyAlignment="1">
      <alignment vertical="center" wrapText="1"/>
    </xf>
    <xf numFmtId="0" fontId="71" fillId="0" borderId="59" xfId="0" applyFont="1" applyFill="1" applyBorder="1" applyAlignment="1">
      <alignment horizontal="center" vertical="center"/>
    </xf>
    <xf numFmtId="0" fontId="71" fillId="0" borderId="0" xfId="0" applyFont="1" applyFill="1" applyBorder="1" applyAlignment="1">
      <alignment horizontal="center" vertical="center"/>
    </xf>
    <xf numFmtId="0" fontId="70" fillId="0" borderId="41" xfId="0" applyFont="1" applyBorder="1" applyAlignment="1">
      <alignment horizontal="right" vertical="top" wrapText="1"/>
    </xf>
    <xf numFmtId="49" fontId="71" fillId="46" borderId="40" xfId="50" applyNumberFormat="1" applyFont="1" applyFill="1" applyBorder="1" applyAlignment="1">
      <alignment horizontal="justify" vertical="center"/>
      <protection/>
    </xf>
    <xf numFmtId="173" fontId="71" fillId="0" borderId="0" xfId="50" applyNumberFormat="1" applyFont="1" applyAlignment="1">
      <alignment vertical="center"/>
      <protection/>
    </xf>
    <xf numFmtId="0" fontId="72" fillId="46" borderId="59" xfId="0" applyFont="1" applyFill="1" applyBorder="1" applyAlignment="1">
      <alignment horizontal="center" vertical="center" wrapText="1"/>
    </xf>
    <xf numFmtId="0" fontId="70" fillId="0" borderId="59" xfId="0" applyFont="1" applyBorder="1" applyAlignment="1">
      <alignment/>
    </xf>
    <xf numFmtId="0" fontId="70" fillId="0" borderId="29" xfId="0" applyFont="1" applyBorder="1" applyAlignment="1">
      <alignment/>
    </xf>
    <xf numFmtId="0" fontId="70" fillId="0" borderId="27" xfId="0" applyFont="1" applyBorder="1" applyAlignment="1">
      <alignment horizontal="left" vertical="top" wrapText="1"/>
    </xf>
    <xf numFmtId="0" fontId="70" fillId="0" borderId="30" xfId="0" applyFont="1" applyBorder="1" applyAlignment="1">
      <alignment horizontal="center" vertical="top" wrapText="1"/>
    </xf>
    <xf numFmtId="0" fontId="71" fillId="41" borderId="0" xfId="0" applyFont="1" applyFill="1" applyAlignment="1">
      <alignment horizontal="center" vertical="center"/>
    </xf>
    <xf numFmtId="0" fontId="70" fillId="0" borderId="0" xfId="50" applyFont="1" applyAlignment="1">
      <alignment wrapText="1"/>
      <protection/>
    </xf>
    <xf numFmtId="0" fontId="70" fillId="0" borderId="0" xfId="50" applyFont="1">
      <alignment/>
      <protection/>
    </xf>
    <xf numFmtId="0" fontId="71" fillId="46" borderId="60" xfId="0" applyFont="1" applyFill="1" applyBorder="1" applyAlignment="1">
      <alignment horizontal="center" vertical="center" wrapText="1"/>
    </xf>
    <xf numFmtId="43" fontId="0" fillId="0" borderId="15" xfId="50" applyNumberFormat="1" applyFont="1" applyBorder="1" applyAlignment="1">
      <alignment wrapText="1"/>
      <protection/>
    </xf>
    <xf numFmtId="39" fontId="0" fillId="42" borderId="15"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Border="1" applyAlignment="1">
      <alignment horizontal="right"/>
    </xf>
    <xf numFmtId="4" fontId="2" fillId="0" borderId="0" xfId="0" applyNumberFormat="1" applyFont="1" applyBorder="1" applyAlignment="1">
      <alignment horizontal="right"/>
    </xf>
    <xf numFmtId="14" fontId="0" fillId="0" borderId="23" xfId="0" applyNumberFormat="1" applyFont="1" applyFill="1" applyBorder="1" applyAlignment="1">
      <alignment horizontal="center" wrapText="1"/>
    </xf>
    <xf numFmtId="10" fontId="0" fillId="41" borderId="15" xfId="0" applyNumberFormat="1" applyFont="1" applyFill="1" applyBorder="1" applyAlignment="1">
      <alignment horizontal="center"/>
    </xf>
    <xf numFmtId="43" fontId="99" fillId="0" borderId="15" xfId="0" applyNumberFormat="1" applyFont="1" applyFill="1" applyBorder="1" applyAlignment="1">
      <alignment/>
    </xf>
    <xf numFmtId="43" fontId="100" fillId="0" borderId="15" xfId="0" applyNumberFormat="1" applyFont="1" applyFill="1" applyBorder="1" applyAlignment="1">
      <alignment/>
    </xf>
    <xf numFmtId="10" fontId="99" fillId="41" borderId="15" xfId="0" applyNumberFormat="1" applyFont="1" applyFill="1" applyBorder="1" applyAlignment="1">
      <alignment horizontal="center"/>
    </xf>
    <xf numFmtId="43" fontId="99" fillId="36" borderId="15" xfId="0" applyNumberFormat="1" applyFont="1" applyFill="1" applyBorder="1" applyAlignment="1">
      <alignment/>
    </xf>
    <xf numFmtId="43" fontId="99" fillId="0" borderId="15" xfId="0" applyNumberFormat="1" applyFont="1" applyFill="1" applyBorder="1" applyAlignment="1">
      <alignment wrapText="1"/>
    </xf>
    <xf numFmtId="177" fontId="99" fillId="0" borderId="15" xfId="0" applyNumberFormat="1" applyFont="1" applyFill="1" applyBorder="1" applyAlignment="1">
      <alignment/>
    </xf>
    <xf numFmtId="177" fontId="101" fillId="0" borderId="15" xfId="0" applyNumberFormat="1" applyFont="1" applyFill="1" applyBorder="1" applyAlignment="1">
      <alignment/>
    </xf>
    <xf numFmtId="177" fontId="102" fillId="36" borderId="15" xfId="0" applyNumberFormat="1" applyFont="1" applyFill="1" applyBorder="1" applyAlignment="1">
      <alignment/>
    </xf>
    <xf numFmtId="177" fontId="101" fillId="36" borderId="15" xfId="0" applyNumberFormat="1" applyFont="1" applyFill="1" applyBorder="1" applyAlignment="1">
      <alignment/>
    </xf>
    <xf numFmtId="0" fontId="0" fillId="0" borderId="17" xfId="0" applyFont="1" applyFill="1" applyBorder="1" applyAlignment="1">
      <alignment horizontal="center" wrapText="1"/>
    </xf>
    <xf numFmtId="0" fontId="1" fillId="0" borderId="0" xfId="0" applyFont="1" applyBorder="1" applyAlignment="1">
      <alignment horizontal="center"/>
    </xf>
    <xf numFmtId="9" fontId="9" fillId="0" borderId="0" xfId="0" applyNumberFormat="1" applyFont="1" applyBorder="1" applyAlignment="1">
      <alignment horizontal="center"/>
    </xf>
    <xf numFmtId="9" fontId="1" fillId="0" borderId="0" xfId="0" applyNumberFormat="1" applyFont="1" applyBorder="1" applyAlignment="1">
      <alignment horizontal="center"/>
    </xf>
    <xf numFmtId="0" fontId="2" fillId="0" borderId="0" xfId="0" applyFont="1" applyBorder="1" applyAlignment="1">
      <alignment horizontal="center"/>
    </xf>
    <xf numFmtId="177" fontId="2" fillId="0" borderId="0" xfId="64" applyFont="1" applyBorder="1" applyAlignment="1">
      <alignment horizontal="right"/>
    </xf>
    <xf numFmtId="177" fontId="2" fillId="0" borderId="0" xfId="64" applyFont="1" applyBorder="1" applyAlignment="1">
      <alignment/>
    </xf>
    <xf numFmtId="4" fontId="2" fillId="0" borderId="0" xfId="0" applyNumberFormat="1" applyFont="1" applyBorder="1" applyAlignment="1">
      <alignment/>
    </xf>
    <xf numFmtId="0" fontId="2" fillId="0" borderId="0" xfId="0" applyFont="1" applyBorder="1" applyAlignment="1">
      <alignment/>
    </xf>
    <xf numFmtId="43" fontId="2" fillId="0" borderId="0" xfId="0" applyNumberFormat="1" applyFont="1" applyBorder="1" applyAlignment="1">
      <alignment horizontal="right"/>
    </xf>
    <xf numFmtId="4" fontId="2" fillId="41" borderId="0" xfId="0" applyNumberFormat="1" applyFont="1" applyFill="1" applyBorder="1" applyAlignment="1">
      <alignment horizontal="right"/>
    </xf>
    <xf numFmtId="4" fontId="9" fillId="0" borderId="0" xfId="0" applyNumberFormat="1" applyFont="1" applyBorder="1" applyAlignment="1">
      <alignment horizontal="right"/>
    </xf>
    <xf numFmtId="4" fontId="101" fillId="41" borderId="0" xfId="0" applyNumberFormat="1" applyFont="1" applyFill="1" applyBorder="1" applyAlignment="1">
      <alignment/>
    </xf>
    <xf numFmtId="4" fontId="9" fillId="0" borderId="0" xfId="0" applyNumberFormat="1" applyFont="1" applyBorder="1" applyAlignment="1">
      <alignment/>
    </xf>
    <xf numFmtId="4" fontId="1" fillId="0" borderId="0" xfId="0" applyNumberFormat="1" applyFont="1" applyBorder="1" applyAlignment="1">
      <alignment horizontal="right"/>
    </xf>
    <xf numFmtId="0" fontId="0" fillId="41" borderId="0" xfId="0" applyFill="1" applyBorder="1" applyAlignment="1">
      <alignment/>
    </xf>
    <xf numFmtId="4" fontId="1" fillId="0" borderId="0" xfId="0" applyNumberFormat="1" applyFont="1" applyBorder="1" applyAlignment="1">
      <alignment/>
    </xf>
    <xf numFmtId="4" fontId="0" fillId="0" borderId="0" xfId="0" applyNumberFormat="1" applyBorder="1" applyAlignment="1">
      <alignment/>
    </xf>
    <xf numFmtId="9" fontId="2" fillId="0" borderId="0" xfId="0" applyNumberFormat="1" applyFont="1" applyBorder="1" applyAlignment="1">
      <alignment horizontal="center"/>
    </xf>
    <xf numFmtId="0" fontId="0" fillId="0" borderId="0" xfId="0" applyFont="1" applyBorder="1" applyAlignment="1">
      <alignment/>
    </xf>
    <xf numFmtId="43" fontId="2" fillId="0" borderId="0" xfId="0" applyNumberFormat="1" applyFont="1" applyBorder="1" applyAlignment="1">
      <alignment/>
    </xf>
    <xf numFmtId="43" fontId="0" fillId="0" borderId="0" xfId="0" applyNumberFormat="1" applyBorder="1" applyAlignment="1">
      <alignment/>
    </xf>
    <xf numFmtId="4" fontId="1" fillId="0" borderId="0" xfId="0" applyNumberFormat="1" applyFont="1" applyBorder="1" applyAlignment="1">
      <alignment horizontal="center"/>
    </xf>
    <xf numFmtId="43" fontId="1" fillId="0" borderId="0" xfId="0" applyNumberFormat="1" applyFont="1" applyBorder="1" applyAlignment="1">
      <alignment/>
    </xf>
    <xf numFmtId="9" fontId="5" fillId="0" borderId="0" xfId="0" applyNumberFormat="1" applyFont="1" applyBorder="1" applyAlignment="1">
      <alignment horizontal="center"/>
    </xf>
    <xf numFmtId="4" fontId="103" fillId="0" borderId="0" xfId="0" applyNumberFormat="1" applyFont="1" applyBorder="1" applyAlignment="1">
      <alignment/>
    </xf>
    <xf numFmtId="0" fontId="12" fillId="0" borderId="0" xfId="0" applyFont="1" applyBorder="1" applyAlignment="1">
      <alignment/>
    </xf>
    <xf numFmtId="0" fontId="0" fillId="0" borderId="0" xfId="0" applyBorder="1" applyAlignment="1">
      <alignment/>
    </xf>
    <xf numFmtId="38" fontId="20" fillId="0" borderId="31" xfId="0" applyNumberFormat="1" applyFont="1" applyBorder="1" applyAlignment="1">
      <alignment horizontal="center"/>
    </xf>
    <xf numFmtId="0" fontId="20" fillId="0" borderId="32" xfId="0" applyFont="1" applyBorder="1" applyAlignment="1">
      <alignment horizontal="center"/>
    </xf>
    <xf numFmtId="0" fontId="20" fillId="0" borderId="33" xfId="0" applyFont="1" applyBorder="1" applyAlignment="1">
      <alignment horizontal="center"/>
    </xf>
    <xf numFmtId="0" fontId="20" fillId="0" borderId="31" xfId="0" applyFont="1" applyBorder="1" applyAlignment="1">
      <alignment horizontal="center"/>
    </xf>
    <xf numFmtId="0" fontId="21" fillId="0" borderId="61" xfId="0" applyFont="1" applyBorder="1" applyAlignment="1">
      <alignment horizontal="center"/>
    </xf>
    <xf numFmtId="0" fontId="21" fillId="0" borderId="62"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38" fontId="33" fillId="37" borderId="0" xfId="0" applyNumberFormat="1" applyFont="1" applyFill="1" applyAlignment="1" applyProtection="1">
      <alignment horizontal="center" vertical="center" wrapText="1"/>
      <protection/>
    </xf>
    <xf numFmtId="0" fontId="0" fillId="38" borderId="0" xfId="0" applyFill="1" applyAlignment="1">
      <alignment horizontal="center" vertical="center" wrapText="1"/>
    </xf>
    <xf numFmtId="38" fontId="33" fillId="38" borderId="0" xfId="0" applyNumberFormat="1"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27" xfId="0" applyFont="1" applyFill="1" applyBorder="1" applyAlignment="1" applyProtection="1">
      <alignment horizontal="center" vertical="center"/>
      <protection/>
    </xf>
    <xf numFmtId="0" fontId="5" fillId="38" borderId="27" xfId="0" applyFont="1" applyFill="1" applyBorder="1" applyAlignment="1">
      <alignment vertical="center"/>
    </xf>
    <xf numFmtId="49" fontId="33" fillId="36" borderId="16" xfId="0" applyNumberFormat="1" applyFont="1" applyFill="1" applyBorder="1" applyAlignment="1" applyProtection="1">
      <alignment horizontal="center" vertical="center" wrapText="1"/>
      <protection/>
    </xf>
    <xf numFmtId="0" fontId="33" fillId="36" borderId="25" xfId="0" applyFont="1" applyFill="1" applyBorder="1" applyAlignment="1" applyProtection="1">
      <alignment horizontal="center" vertical="center" wrapText="1"/>
      <protection/>
    </xf>
    <xf numFmtId="0" fontId="33" fillId="36" borderId="26" xfId="0" applyFont="1" applyFill="1" applyBorder="1" applyAlignment="1" applyProtection="1">
      <alignment horizontal="center" vertical="center" wrapText="1"/>
      <protection/>
    </xf>
    <xf numFmtId="38" fontId="33" fillId="36" borderId="0" xfId="0" applyNumberFormat="1" applyFont="1" applyFill="1" applyAlignment="1" applyProtection="1">
      <alignment horizontal="center" vertical="center"/>
      <protection/>
    </xf>
    <xf numFmtId="0" fontId="0" fillId="0" borderId="0" xfId="0" applyAlignment="1">
      <alignment horizontal="center" vertical="center"/>
    </xf>
    <xf numFmtId="49" fontId="33" fillId="36" borderId="0" xfId="0" applyNumberFormat="1" applyFont="1" applyFill="1" applyAlignment="1" applyProtection="1">
      <alignment horizontal="center" vertical="center" wrapText="1"/>
      <protection/>
    </xf>
    <xf numFmtId="0" fontId="35" fillId="38" borderId="27" xfId="0" applyFont="1" applyFill="1" applyBorder="1" applyAlignment="1">
      <alignment horizontal="center" wrapText="1"/>
    </xf>
    <xf numFmtId="0" fontId="5" fillId="38" borderId="27" xfId="0" applyFont="1" applyFill="1" applyBorder="1" applyAlignment="1">
      <alignment horizontal="center" wrapText="1"/>
    </xf>
    <xf numFmtId="0" fontId="33" fillId="36" borderId="26" xfId="64" applyNumberFormat="1" applyFont="1" applyFill="1" applyBorder="1" applyAlignment="1" applyProtection="1">
      <alignment horizontal="center" vertical="center"/>
      <protection/>
    </xf>
    <xf numFmtId="0" fontId="16" fillId="0" borderId="58" xfId="0" applyFont="1" applyBorder="1" applyAlignment="1">
      <alignment wrapText="1"/>
    </xf>
    <xf numFmtId="0" fontId="0" fillId="0" borderId="26" xfId="0" applyBorder="1" applyAlignment="1">
      <alignment wrapText="1"/>
    </xf>
    <xf numFmtId="0" fontId="0" fillId="0" borderId="40" xfId="0" applyBorder="1" applyAlignment="1">
      <alignment wrapText="1"/>
    </xf>
    <xf numFmtId="0" fontId="6" fillId="36" borderId="15" xfId="0" applyFont="1" applyFill="1" applyBorder="1" applyAlignment="1">
      <alignment horizontal="center" vertical="center" wrapText="1"/>
    </xf>
    <xf numFmtId="38" fontId="14" fillId="0" borderId="31" xfId="0" applyNumberFormat="1"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1" xfId="0" applyFont="1" applyBorder="1" applyAlignment="1">
      <alignment horizontal="center"/>
    </xf>
    <xf numFmtId="0" fontId="40" fillId="36" borderId="15" xfId="0" applyFont="1" applyFill="1" applyBorder="1" applyAlignment="1">
      <alignment horizontal="center" vertical="center" wrapText="1"/>
    </xf>
    <xf numFmtId="38" fontId="40" fillId="0" borderId="31" xfId="0" applyNumberFormat="1" applyFont="1" applyBorder="1" applyAlignment="1">
      <alignment horizontal="center"/>
    </xf>
    <xf numFmtId="0" fontId="40" fillId="0" borderId="32" xfId="0" applyFont="1" applyBorder="1" applyAlignment="1">
      <alignment horizontal="center"/>
    </xf>
    <xf numFmtId="0" fontId="40" fillId="0" borderId="33" xfId="0" applyFont="1" applyBorder="1" applyAlignment="1">
      <alignment horizontal="center"/>
    </xf>
    <xf numFmtId="0" fontId="40" fillId="0" borderId="31" xfId="0" applyFont="1" applyBorder="1" applyAlignment="1">
      <alignment horizontal="center"/>
    </xf>
    <xf numFmtId="203" fontId="21" fillId="0" borderId="28" xfId="0" applyNumberFormat="1" applyFont="1" applyFill="1" applyBorder="1" applyAlignment="1">
      <alignment horizontal="center" textRotation="90" wrapText="1"/>
    </xf>
    <xf numFmtId="203" fontId="21" fillId="0" borderId="29" xfId="0" applyNumberFormat="1" applyFont="1" applyFill="1" applyBorder="1" applyAlignment="1">
      <alignment horizontal="center" textRotation="90" wrapText="1"/>
    </xf>
    <xf numFmtId="0" fontId="0" fillId="0" borderId="29" xfId="0" applyBorder="1" applyAlignment="1">
      <alignment horizontal="center" textRotation="90" wrapText="1"/>
    </xf>
    <xf numFmtId="0" fontId="0" fillId="0" borderId="30" xfId="0" applyBorder="1" applyAlignment="1">
      <alignment horizontal="center" textRotation="90" wrapText="1"/>
    </xf>
    <xf numFmtId="0" fontId="0" fillId="0" borderId="31" xfId="50" applyFont="1" applyBorder="1" applyAlignment="1">
      <alignment horizontal="center"/>
      <protection/>
    </xf>
    <xf numFmtId="0" fontId="0" fillId="0" borderId="32" xfId="50" applyFont="1" applyBorder="1" applyAlignment="1">
      <alignment horizontal="center"/>
      <protection/>
    </xf>
    <xf numFmtId="0" fontId="0" fillId="0" borderId="33" xfId="50" applyFont="1" applyBorder="1" applyAlignment="1">
      <alignment horizontal="center"/>
      <protection/>
    </xf>
    <xf numFmtId="0" fontId="0" fillId="0" borderId="45" xfId="50" applyFont="1" applyBorder="1" applyAlignment="1">
      <alignment horizontal="left" wrapText="1"/>
      <protection/>
    </xf>
    <xf numFmtId="0" fontId="0" fillId="0" borderId="42" xfId="50" applyFont="1" applyBorder="1" applyAlignment="1">
      <alignment horizontal="left" wrapText="1"/>
      <protection/>
    </xf>
    <xf numFmtId="0" fontId="0" fillId="0" borderId="43" xfId="50" applyFont="1" applyBorder="1" applyAlignment="1">
      <alignment horizontal="left" wrapText="1"/>
      <protection/>
    </xf>
    <xf numFmtId="173" fontId="0" fillId="0" borderId="63" xfId="50" applyNumberFormat="1" applyFont="1" applyBorder="1" applyAlignment="1">
      <alignment horizontal="right" wrapText="1"/>
      <protection/>
    </xf>
    <xf numFmtId="173" fontId="0" fillId="0" borderId="0" xfId="50" applyNumberFormat="1" applyFont="1" applyAlignment="1">
      <alignment horizontal="right" wrapText="1"/>
      <protection/>
    </xf>
    <xf numFmtId="0" fontId="5" fillId="46" borderId="50" xfId="50" applyFont="1" applyFill="1" applyBorder="1" applyAlignment="1">
      <alignment horizontal="center" vertical="center" wrapText="1"/>
      <protection/>
    </xf>
    <xf numFmtId="0" fontId="5" fillId="46" borderId="17" xfId="50" applyFont="1" applyFill="1" applyBorder="1" applyAlignment="1">
      <alignment horizontal="center" vertical="center" wrapText="1"/>
      <protection/>
    </xf>
    <xf numFmtId="0" fontId="5" fillId="46" borderId="25" xfId="50" applyFont="1" applyFill="1" applyBorder="1" applyAlignment="1">
      <alignment horizontal="center" vertical="center" wrapText="1"/>
      <protection/>
    </xf>
    <xf numFmtId="0" fontId="5" fillId="46" borderId="58" xfId="50" applyFont="1" applyFill="1" applyBorder="1" applyAlignment="1">
      <alignment horizontal="center" vertical="center" wrapText="1"/>
      <protection/>
    </xf>
    <xf numFmtId="0" fontId="5" fillId="46" borderId="26" xfId="50" applyFont="1" applyFill="1" applyBorder="1" applyAlignment="1">
      <alignment horizontal="center" vertical="center" wrapText="1"/>
      <protection/>
    </xf>
    <xf numFmtId="0" fontId="5" fillId="46" borderId="40" xfId="50" applyFont="1" applyFill="1" applyBorder="1" applyAlignment="1">
      <alignment horizontal="center" vertical="center" wrapText="1"/>
      <protection/>
    </xf>
    <xf numFmtId="38" fontId="0" fillId="0" borderId="31" xfId="50" applyNumberFormat="1" applyFont="1" applyBorder="1" applyAlignment="1">
      <alignment horizontal="center"/>
      <protection/>
    </xf>
    <xf numFmtId="0" fontId="5" fillId="0" borderId="31" xfId="50" applyFont="1" applyBorder="1" applyAlignment="1">
      <alignment horizontal="center"/>
      <protection/>
    </xf>
    <xf numFmtId="0" fontId="5" fillId="0" borderId="32" xfId="50" applyFont="1" applyBorder="1" applyAlignment="1">
      <alignment horizontal="center"/>
      <protection/>
    </xf>
    <xf numFmtId="0" fontId="5" fillId="0" borderId="33" xfId="50" applyFont="1" applyBorder="1" applyAlignment="1">
      <alignment horizontal="center"/>
      <protection/>
    </xf>
    <xf numFmtId="0" fontId="36" fillId="0" borderId="16" xfId="0" applyFont="1" applyBorder="1" applyAlignment="1">
      <alignment horizontal="left"/>
    </xf>
    <xf numFmtId="0" fontId="17" fillId="47" borderId="50" xfId="0" applyFont="1" applyFill="1" applyBorder="1" applyAlignment="1">
      <alignment horizontal="center" vertical="center" wrapText="1"/>
    </xf>
    <xf numFmtId="0" fontId="17" fillId="47" borderId="17" xfId="0" applyFont="1" applyFill="1" applyBorder="1" applyAlignment="1">
      <alignment horizontal="center" vertical="center" wrapText="1"/>
    </xf>
    <xf numFmtId="0" fontId="17" fillId="47" borderId="25" xfId="0" applyFont="1" applyFill="1" applyBorder="1" applyAlignment="1">
      <alignment horizontal="center" vertical="center" wrapText="1"/>
    </xf>
    <xf numFmtId="0" fontId="17" fillId="47" borderId="58" xfId="0" applyFont="1" applyFill="1" applyBorder="1" applyAlignment="1">
      <alignment horizontal="center" vertical="center" wrapText="1"/>
    </xf>
    <xf numFmtId="0" fontId="17" fillId="47" borderId="26" xfId="0" applyFont="1" applyFill="1" applyBorder="1" applyAlignment="1">
      <alignment horizontal="center" vertical="center" wrapText="1"/>
    </xf>
    <xf numFmtId="0" fontId="17" fillId="47" borderId="40" xfId="0" applyFont="1" applyFill="1" applyBorder="1" applyAlignment="1">
      <alignment horizontal="center" vertical="center" wrapText="1"/>
    </xf>
    <xf numFmtId="0" fontId="6" fillId="0" borderId="45" xfId="0" applyFont="1" applyFill="1" applyBorder="1" applyAlignment="1">
      <alignment wrapText="1"/>
    </xf>
    <xf numFmtId="0" fontId="5" fillId="0" borderId="42" xfId="0" applyFont="1" applyBorder="1" applyAlignment="1">
      <alignment wrapText="1"/>
    </xf>
    <xf numFmtId="0" fontId="5" fillId="0" borderId="43" xfId="0" applyFont="1" applyBorder="1" applyAlignment="1">
      <alignment wrapText="1"/>
    </xf>
    <xf numFmtId="203" fontId="16" fillId="48" borderId="28" xfId="0" applyNumberFormat="1" applyFont="1" applyFill="1" applyBorder="1" applyAlignment="1">
      <alignment horizontal="center" textRotation="90" wrapText="1"/>
    </xf>
    <xf numFmtId="0" fontId="16" fillId="47" borderId="29" xfId="0" applyFont="1" applyFill="1" applyBorder="1" applyAlignment="1">
      <alignment horizontal="center" textRotation="90" wrapText="1"/>
    </xf>
    <xf numFmtId="0" fontId="16" fillId="47" borderId="30" xfId="0" applyFont="1" applyFill="1" applyBorder="1" applyAlignment="1">
      <alignment horizontal="center" textRotation="90" wrapText="1"/>
    </xf>
    <xf numFmtId="0" fontId="17" fillId="0" borderId="31" xfId="0" applyFont="1" applyBorder="1" applyAlignment="1">
      <alignment horizontal="center"/>
    </xf>
    <xf numFmtId="0" fontId="17" fillId="0" borderId="32" xfId="0" applyFont="1" applyBorder="1" applyAlignment="1">
      <alignment horizontal="center"/>
    </xf>
    <xf numFmtId="0" fontId="17" fillId="0" borderId="33" xfId="0" applyFont="1" applyBorder="1" applyAlignment="1">
      <alignment horizontal="center"/>
    </xf>
    <xf numFmtId="38" fontId="17" fillId="0" borderId="31" xfId="0" applyNumberFormat="1"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0" borderId="18" xfId="0" applyFont="1" applyBorder="1" applyAlignment="1">
      <alignment wrapText="1"/>
    </xf>
    <xf numFmtId="173" fontId="17" fillId="0" borderId="18" xfId="0" applyNumberFormat="1" applyFont="1" applyBorder="1" applyAlignment="1">
      <alignment horizontal="right" wrapText="1"/>
    </xf>
    <xf numFmtId="0" fontId="17" fillId="0" borderId="18" xfId="0" applyFont="1" applyBorder="1" applyAlignment="1">
      <alignment horizontal="right" wrapText="1"/>
    </xf>
    <xf numFmtId="0" fontId="104" fillId="0" borderId="58" xfId="0" applyFont="1" applyFill="1" applyBorder="1" applyAlignment="1">
      <alignment horizontal="left"/>
    </xf>
    <xf numFmtId="0" fontId="99" fillId="0" borderId="26" xfId="0" applyFont="1" applyBorder="1" applyAlignment="1">
      <alignment horizontal="left"/>
    </xf>
    <xf numFmtId="0" fontId="99" fillId="0" borderId="40" xfId="0" applyFont="1" applyBorder="1" applyAlignment="1">
      <alignment horizontal="left"/>
    </xf>
    <xf numFmtId="203" fontId="0" fillId="0" borderId="28" xfId="0" applyNumberFormat="1" applyFont="1" applyFill="1" applyBorder="1" applyAlignment="1">
      <alignment textRotation="90" wrapText="1"/>
    </xf>
    <xf numFmtId="203" fontId="0" fillId="0" borderId="29" xfId="0" applyNumberFormat="1" applyFont="1" applyFill="1" applyBorder="1" applyAlignment="1">
      <alignment textRotation="90" wrapText="1"/>
    </xf>
    <xf numFmtId="203" fontId="0" fillId="0" borderId="30" xfId="0" applyNumberFormat="1" applyFont="1" applyFill="1" applyBorder="1" applyAlignment="1">
      <alignment textRotation="90" wrapText="1"/>
    </xf>
    <xf numFmtId="0" fontId="5" fillId="0" borderId="16" xfId="0" applyFont="1" applyFill="1" applyBorder="1" applyAlignment="1">
      <alignment horizontal="left"/>
    </xf>
    <xf numFmtId="173" fontId="0" fillId="0" borderId="18" xfId="0" applyNumberFormat="1" applyFont="1" applyFill="1" applyBorder="1" applyAlignment="1">
      <alignment horizontal="right" wrapText="1"/>
    </xf>
    <xf numFmtId="0" fontId="0" fillId="0" borderId="18" xfId="0" applyFont="1" applyFill="1" applyBorder="1" applyAlignment="1">
      <alignment horizontal="right" wrapText="1"/>
    </xf>
    <xf numFmtId="0" fontId="0" fillId="0" borderId="5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5" fillId="0" borderId="45" xfId="0" applyFont="1" applyFill="1" applyBorder="1" applyAlignment="1">
      <alignment horizontal="justify"/>
    </xf>
    <xf numFmtId="0" fontId="5" fillId="0" borderId="43" xfId="0" applyFont="1" applyFill="1" applyBorder="1" applyAlignment="1">
      <alignment/>
    </xf>
    <xf numFmtId="38" fontId="0" fillId="0" borderId="31" xfId="0" applyNumberFormat="1"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1"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0" fillId="0" borderId="30" xfId="0" applyFont="1" applyFill="1" applyBorder="1" applyAlignment="1">
      <alignment horizontal="center" vertical="center" wrapText="1"/>
    </xf>
    <xf numFmtId="0" fontId="0" fillId="0" borderId="58" xfId="0" applyFont="1" applyFill="1" applyBorder="1" applyAlignment="1">
      <alignment horizontal="center"/>
    </xf>
    <xf numFmtId="0" fontId="0" fillId="0" borderId="26" xfId="0" applyFont="1" applyFill="1" applyBorder="1" applyAlignment="1">
      <alignment horizont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16" fillId="0" borderId="27" xfId="0" applyFont="1" applyFill="1" applyBorder="1" applyAlignment="1">
      <alignment horizontal="left" vertical="top" wrapText="1"/>
    </xf>
    <xf numFmtId="0" fontId="5" fillId="0" borderId="27" xfId="0" applyFont="1" applyFill="1" applyBorder="1" applyAlignment="1">
      <alignment/>
    </xf>
    <xf numFmtId="0" fontId="45" fillId="0" borderId="31" xfId="0" applyFont="1" applyFill="1" applyBorder="1" applyAlignment="1">
      <alignment horizontal="center"/>
    </xf>
    <xf numFmtId="0" fontId="45" fillId="0" borderId="32" xfId="0" applyFont="1" applyFill="1" applyBorder="1" applyAlignment="1">
      <alignment horizontal="center"/>
    </xf>
    <xf numFmtId="0" fontId="45" fillId="0" borderId="33" xfId="0" applyFont="1" applyFill="1" applyBorder="1" applyAlignment="1">
      <alignment horizontal="center"/>
    </xf>
    <xf numFmtId="0" fontId="45" fillId="0" borderId="16" xfId="0" applyFont="1" applyFill="1" applyBorder="1" applyAlignment="1">
      <alignment wrapText="1"/>
    </xf>
    <xf numFmtId="0" fontId="44" fillId="0" borderId="16" xfId="0" applyFont="1" applyFill="1" applyBorder="1" applyAlignment="1">
      <alignment wrapText="1"/>
    </xf>
    <xf numFmtId="0" fontId="44" fillId="0" borderId="31" xfId="0" applyFont="1" applyFill="1" applyBorder="1" applyAlignment="1">
      <alignment horizontal="center"/>
    </xf>
    <xf numFmtId="0" fontId="44" fillId="0" borderId="32" xfId="0" applyFont="1" applyFill="1" applyBorder="1" applyAlignment="1">
      <alignment horizontal="center"/>
    </xf>
    <xf numFmtId="0" fontId="44" fillId="0" borderId="33" xfId="0" applyFont="1" applyFill="1" applyBorder="1" applyAlignment="1">
      <alignment horizontal="center"/>
    </xf>
    <xf numFmtId="0" fontId="45" fillId="0" borderId="26" xfId="0" applyFont="1" applyFill="1" applyBorder="1" applyAlignment="1">
      <alignment horizontal="center" wrapText="1"/>
    </xf>
    <xf numFmtId="0" fontId="44" fillId="0" borderId="16" xfId="0" applyFont="1" applyFill="1" applyBorder="1" applyAlignment="1">
      <alignment horizontal="left"/>
    </xf>
    <xf numFmtId="38" fontId="44" fillId="0" borderId="31" xfId="0" applyNumberFormat="1" applyFont="1" applyFill="1" applyBorder="1" applyAlignment="1">
      <alignment horizontal="center"/>
    </xf>
    <xf numFmtId="0" fontId="44" fillId="0" borderId="26" xfId="0" applyFont="1" applyFill="1" applyBorder="1" applyAlignment="1">
      <alignment wrapText="1"/>
    </xf>
    <xf numFmtId="0" fontId="45" fillId="0" borderId="45" xfId="0" applyFont="1" applyFill="1" applyBorder="1" applyAlignment="1">
      <alignment wrapText="1"/>
    </xf>
    <xf numFmtId="0" fontId="45" fillId="0" borderId="43" xfId="0" applyFont="1" applyFill="1" applyBorder="1" applyAlignment="1">
      <alignment wrapText="1"/>
    </xf>
    <xf numFmtId="0" fontId="6" fillId="41" borderId="50" xfId="0" applyFont="1" applyFill="1" applyBorder="1" applyAlignment="1">
      <alignment horizontal="center" vertical="center" wrapText="1"/>
    </xf>
    <xf numFmtId="0" fontId="6" fillId="41" borderId="25" xfId="0" applyFont="1" applyFill="1" applyBorder="1" applyAlignment="1">
      <alignment horizontal="center" vertical="center" wrapText="1"/>
    </xf>
    <xf numFmtId="0" fontId="6" fillId="41" borderId="28" xfId="0" applyFont="1" applyFill="1" applyBorder="1" applyAlignment="1">
      <alignment horizontal="center" vertical="center" wrapText="1"/>
    </xf>
    <xf numFmtId="0" fontId="6" fillId="41" borderId="30" xfId="0" applyFont="1" applyFill="1" applyBorder="1" applyAlignment="1">
      <alignment horizontal="center" vertical="center" wrapText="1"/>
    </xf>
    <xf numFmtId="0" fontId="17" fillId="41" borderId="50" xfId="0" applyFont="1" applyFill="1" applyBorder="1" applyAlignment="1">
      <alignment horizontal="left" vertical="top" wrapText="1"/>
    </xf>
    <xf numFmtId="0" fontId="17" fillId="41" borderId="25" xfId="0" applyFont="1" applyFill="1" applyBorder="1" applyAlignment="1">
      <alignment horizontal="left" vertical="top" wrapText="1"/>
    </xf>
    <xf numFmtId="0" fontId="16" fillId="0" borderId="16" xfId="0" applyFont="1" applyBorder="1" applyAlignment="1">
      <alignment horizontal="left"/>
    </xf>
    <xf numFmtId="0" fontId="17" fillId="41" borderId="26" xfId="0" applyFont="1" applyFill="1" applyBorder="1" applyAlignment="1">
      <alignment vertical="top" wrapText="1"/>
    </xf>
    <xf numFmtId="0" fontId="17" fillId="0" borderId="31" xfId="0" applyFont="1" applyFill="1" applyBorder="1" applyAlignment="1">
      <alignment horizontal="center"/>
    </xf>
    <xf numFmtId="0" fontId="17" fillId="0" borderId="32" xfId="0" applyFont="1" applyFill="1" applyBorder="1" applyAlignment="1">
      <alignment horizontal="center"/>
    </xf>
    <xf numFmtId="0" fontId="17" fillId="0" borderId="33" xfId="0" applyFont="1" applyFill="1" applyBorder="1" applyAlignment="1">
      <alignment horizontal="center"/>
    </xf>
    <xf numFmtId="38" fontId="17" fillId="0" borderId="31" xfId="0" applyNumberFormat="1" applyFont="1" applyFill="1" applyBorder="1" applyAlignment="1">
      <alignment horizontal="center"/>
    </xf>
    <xf numFmtId="0" fontId="6" fillId="0" borderId="31"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0" fontId="70" fillId="0" borderId="0" xfId="50" applyFont="1" applyAlignment="1">
      <alignment horizontal="left" wrapText="1"/>
      <protection/>
    </xf>
    <xf numFmtId="173" fontId="71" fillId="49" borderId="58" xfId="50" applyNumberFormat="1" applyFont="1" applyFill="1" applyBorder="1" applyAlignment="1">
      <alignment horizontal="center" vertical="center"/>
      <protection/>
    </xf>
    <xf numFmtId="173" fontId="71" fillId="49" borderId="26" xfId="50" applyNumberFormat="1" applyFont="1" applyFill="1" applyBorder="1" applyAlignment="1">
      <alignment horizontal="center" vertical="center"/>
      <protection/>
    </xf>
    <xf numFmtId="0" fontId="71" fillId="46" borderId="16" xfId="0" applyFont="1" applyFill="1" applyBorder="1" applyAlignment="1">
      <alignment horizontal="center" vertical="center"/>
    </xf>
    <xf numFmtId="0" fontId="71" fillId="46" borderId="25" xfId="0" applyFont="1" applyFill="1" applyBorder="1" applyAlignment="1">
      <alignment horizontal="center" vertical="center"/>
    </xf>
    <xf numFmtId="0" fontId="71" fillId="46" borderId="59" xfId="0" applyFont="1" applyFill="1" applyBorder="1" applyAlignment="1">
      <alignment horizontal="center" vertical="center" wrapText="1"/>
    </xf>
    <xf numFmtId="0" fontId="71" fillId="46" borderId="16" xfId="0" applyFont="1" applyFill="1" applyBorder="1" applyAlignment="1">
      <alignment horizontal="center" vertical="center" wrapText="1"/>
    </xf>
    <xf numFmtId="0" fontId="71" fillId="46" borderId="60" xfId="0" applyFont="1" applyFill="1" applyBorder="1" applyAlignment="1">
      <alignment horizontal="center" vertical="center" wrapText="1"/>
    </xf>
    <xf numFmtId="0" fontId="71" fillId="46" borderId="27" xfId="0" applyFont="1" applyFill="1" applyBorder="1" applyAlignment="1">
      <alignment horizontal="center" vertical="center" wrapText="1"/>
    </xf>
    <xf numFmtId="0" fontId="70" fillId="0" borderId="0" xfId="0" applyFont="1" applyAlignment="1">
      <alignment horizontal="left" vertical="center" wrapText="1"/>
    </xf>
    <xf numFmtId="0" fontId="71" fillId="46" borderId="64" xfId="0" applyFont="1" applyFill="1" applyBorder="1" applyAlignment="1">
      <alignment horizontal="center" vertical="center"/>
    </xf>
    <xf numFmtId="0" fontId="71" fillId="41" borderId="65" xfId="0" applyFont="1" applyFill="1" applyBorder="1" applyAlignment="1">
      <alignment horizontal="center" vertical="center"/>
    </xf>
    <xf numFmtId="0" fontId="71" fillId="41" borderId="0" xfId="0" applyFont="1" applyFill="1" applyAlignment="1">
      <alignment horizontal="center" vertical="center"/>
    </xf>
    <xf numFmtId="0" fontId="72" fillId="46" borderId="59" xfId="0" applyFont="1" applyFill="1" applyBorder="1" applyAlignment="1">
      <alignment horizontal="center" vertical="center" wrapText="1"/>
    </xf>
    <xf numFmtId="0" fontId="72" fillId="46" borderId="16" xfId="0" applyFont="1" applyFill="1" applyBorder="1" applyAlignment="1">
      <alignment horizontal="center" vertical="center" wrapText="1"/>
    </xf>
    <xf numFmtId="0" fontId="71" fillId="46" borderId="26" xfId="0" applyFont="1" applyFill="1" applyBorder="1" applyAlignment="1">
      <alignment horizontal="center" vertical="center"/>
    </xf>
    <xf numFmtId="0" fontId="71" fillId="46" borderId="58" xfId="0" applyFont="1" applyFill="1" applyBorder="1" applyAlignment="1">
      <alignment horizontal="center" vertical="center"/>
    </xf>
    <xf numFmtId="37" fontId="70" fillId="46" borderId="58" xfId="0" applyNumberFormat="1" applyFont="1" applyFill="1" applyBorder="1" applyAlignment="1">
      <alignment horizontal="center" vertical="center"/>
    </xf>
    <xf numFmtId="37" fontId="70" fillId="46" borderId="26" xfId="0" applyNumberFormat="1" applyFont="1" applyFill="1" applyBorder="1" applyAlignment="1">
      <alignment horizontal="center" vertical="center"/>
    </xf>
    <xf numFmtId="37" fontId="71" fillId="46" borderId="58" xfId="0" applyNumberFormat="1" applyFont="1" applyFill="1" applyBorder="1" applyAlignment="1">
      <alignment horizontal="center"/>
    </xf>
    <xf numFmtId="37" fontId="71" fillId="46" borderId="26" xfId="0" applyNumberFormat="1" applyFont="1" applyFill="1" applyBorder="1" applyAlignment="1">
      <alignment horizontal="center"/>
    </xf>
    <xf numFmtId="0" fontId="70" fillId="46" borderId="58" xfId="0" applyFont="1" applyFill="1" applyBorder="1" applyAlignment="1">
      <alignment horizontal="center" vertical="center" wrapText="1"/>
    </xf>
    <xf numFmtId="0" fontId="70" fillId="46" borderId="26" xfId="0" applyFont="1" applyFill="1" applyBorder="1" applyAlignment="1">
      <alignment horizontal="center" vertical="center" wrapText="1"/>
    </xf>
    <xf numFmtId="0" fontId="71" fillId="46" borderId="26" xfId="0" applyFont="1" applyFill="1" applyBorder="1" applyAlignment="1">
      <alignment horizontal="center" vertical="center" wrapText="1"/>
    </xf>
    <xf numFmtId="0" fontId="71" fillId="46" borderId="58" xfId="0" applyFont="1" applyFill="1" applyBorder="1" applyAlignment="1">
      <alignment horizontal="center" vertical="center" wrapText="1"/>
    </xf>
    <xf numFmtId="37" fontId="70" fillId="0" borderId="41" xfId="0" applyNumberFormat="1" applyFont="1" applyBorder="1" applyAlignment="1">
      <alignment horizontal="center" vertical="center"/>
    </xf>
    <xf numFmtId="37" fontId="70" fillId="0" borderId="0" xfId="0" applyNumberFormat="1" applyFont="1" applyAlignment="1">
      <alignment horizontal="center" vertical="center"/>
    </xf>
    <xf numFmtId="0" fontId="70" fillId="0" borderId="59" xfId="0" applyFont="1" applyBorder="1" applyAlignment="1">
      <alignment horizontal="center" vertical="top" wrapText="1"/>
    </xf>
    <xf numFmtId="0" fontId="70" fillId="0" borderId="16" xfId="0" applyFont="1" applyBorder="1" applyAlignment="1">
      <alignment horizontal="center" vertical="top" wrapText="1"/>
    </xf>
    <xf numFmtId="0" fontId="70" fillId="0" borderId="41" xfId="0" applyFont="1" applyBorder="1" applyAlignment="1">
      <alignment horizontal="center" vertical="top" wrapText="1"/>
    </xf>
    <xf numFmtId="0" fontId="70" fillId="0" borderId="0" xfId="0" applyFont="1" applyAlignment="1">
      <alignment horizontal="center" vertical="top" wrapText="1"/>
    </xf>
    <xf numFmtId="0" fontId="70" fillId="0" borderId="60" xfId="0" applyFont="1" applyBorder="1" applyAlignment="1">
      <alignment horizontal="center" vertical="top" wrapText="1"/>
    </xf>
    <xf numFmtId="0" fontId="70" fillId="0" borderId="27" xfId="0" applyFont="1" applyBorder="1" applyAlignment="1">
      <alignment horizontal="center" vertical="top" wrapText="1"/>
    </xf>
    <xf numFmtId="0" fontId="71" fillId="41" borderId="66" xfId="0" applyFont="1" applyFill="1" applyBorder="1" applyAlignment="1">
      <alignment horizontal="center" vertical="center" wrapText="1"/>
    </xf>
    <xf numFmtId="0" fontId="71" fillId="41" borderId="67" xfId="0" applyFont="1" applyFill="1" applyBorder="1" applyAlignment="1">
      <alignment horizontal="center" vertical="center" wrapText="1"/>
    </xf>
    <xf numFmtId="0" fontId="70" fillId="0" borderId="58" xfId="0" applyFont="1" applyBorder="1" applyAlignment="1">
      <alignment horizontal="center" vertical="top" wrapText="1"/>
    </xf>
    <xf numFmtId="0" fontId="70" fillId="0" borderId="26" xfId="0" applyFont="1" applyBorder="1" applyAlignment="1">
      <alignment horizontal="center" vertical="top" wrapText="1"/>
    </xf>
    <xf numFmtId="0" fontId="71" fillId="46" borderId="58" xfId="0" applyFont="1" applyFill="1" applyBorder="1" applyAlignment="1">
      <alignment horizontal="center" wrapText="1"/>
    </xf>
    <xf numFmtId="0" fontId="71" fillId="46" borderId="26" xfId="0" applyFont="1" applyFill="1" applyBorder="1" applyAlignment="1">
      <alignment horizontal="center" wrapText="1"/>
    </xf>
    <xf numFmtId="167" fontId="70" fillId="0" borderId="22" xfId="0" applyNumberFormat="1" applyFont="1" applyBorder="1" applyAlignment="1">
      <alignment horizontal="right"/>
    </xf>
    <xf numFmtId="0" fontId="71" fillId="46" borderId="22" xfId="0" applyFont="1" applyFill="1" applyBorder="1" applyAlignment="1">
      <alignment horizontal="center" vertical="center"/>
    </xf>
    <xf numFmtId="0" fontId="71" fillId="41" borderId="65" xfId="0" applyFont="1" applyFill="1" applyBorder="1" applyAlignment="1">
      <alignment horizontal="center" vertical="center" wrapText="1"/>
    </xf>
    <xf numFmtId="0" fontId="71" fillId="41" borderId="27" xfId="0" applyFont="1" applyFill="1" applyBorder="1" applyAlignment="1">
      <alignment horizontal="center" vertical="center" wrapText="1"/>
    </xf>
    <xf numFmtId="0" fontId="70" fillId="0" borderId="41" xfId="0" applyFont="1" applyBorder="1" applyAlignment="1">
      <alignment horizontal="center" vertical="center"/>
    </xf>
    <xf numFmtId="38" fontId="70" fillId="0" borderId="0" xfId="0" applyNumberFormat="1"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70" fillId="0" borderId="22" xfId="0" applyFont="1" applyBorder="1" applyAlignment="1">
      <alignment horizontal="left" vertical="center"/>
    </xf>
    <xf numFmtId="37" fontId="70" fillId="46" borderId="58" xfId="0" applyNumberFormat="1" applyFont="1" applyFill="1" applyBorder="1" applyAlignment="1">
      <alignment horizontal="center"/>
    </xf>
    <xf numFmtId="37" fontId="70" fillId="46" borderId="26" xfId="0" applyNumberFormat="1" applyFont="1" applyFill="1" applyBorder="1" applyAlignment="1">
      <alignment horizontal="center"/>
    </xf>
    <xf numFmtId="0" fontId="0" fillId="36" borderId="26" xfId="0" applyFont="1" applyFill="1" applyBorder="1" applyAlignment="1">
      <alignment wrapText="1"/>
    </xf>
    <xf numFmtId="0" fontId="0" fillId="36" borderId="40" xfId="0" applyFont="1" applyFill="1" applyBorder="1" applyAlignment="1">
      <alignment wrapText="1"/>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0" fillId="36" borderId="50"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38" fontId="15" fillId="0" borderId="31" xfId="0" applyNumberFormat="1"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0" fontId="6" fillId="0" borderId="16" xfId="0" applyFont="1" applyFill="1" applyBorder="1" applyAlignment="1">
      <alignment horizontal="left"/>
    </xf>
    <xf numFmtId="0" fontId="17" fillId="0" borderId="16" xfId="0" applyFont="1" applyFill="1" applyBorder="1" applyAlignment="1">
      <alignment horizontal="left"/>
    </xf>
    <xf numFmtId="0" fontId="14" fillId="0" borderId="16" xfId="0" applyFont="1" applyBorder="1" applyAlignment="1">
      <alignment horizontal="left"/>
    </xf>
    <xf numFmtId="0" fontId="13" fillId="0" borderId="16" xfId="0" applyFont="1" applyBorder="1" applyAlignment="1">
      <alignment horizontal="left"/>
    </xf>
    <xf numFmtId="0" fontId="17" fillId="0" borderId="0" xfId="0" applyFont="1" applyBorder="1" applyAlignment="1">
      <alignment horizontal="justify" wrapText="1"/>
    </xf>
    <xf numFmtId="173" fontId="17" fillId="0" borderId="0" xfId="0" applyNumberFormat="1" applyFont="1" applyBorder="1" applyAlignment="1">
      <alignment horizontal="right" wrapText="1"/>
    </xf>
    <xf numFmtId="0" fontId="6" fillId="36" borderId="30" xfId="0" applyFont="1" applyFill="1" applyBorder="1" applyAlignment="1">
      <alignment horizontal="center" wrapText="1"/>
    </xf>
    <xf numFmtId="0" fontId="6" fillId="36" borderId="15" xfId="0" applyFont="1" applyFill="1" applyBorder="1" applyAlignment="1">
      <alignment horizontal="center" wrapText="1"/>
    </xf>
    <xf numFmtId="0" fontId="17" fillId="0" borderId="26" xfId="0" applyFont="1" applyFill="1" applyBorder="1" applyAlignment="1">
      <alignment horizontal="center" wrapText="1"/>
    </xf>
    <xf numFmtId="0" fontId="17" fillId="0" borderId="40" xfId="0" applyFont="1" applyFill="1" applyBorder="1" applyAlignment="1">
      <alignment horizontal="center" wrapText="1"/>
    </xf>
    <xf numFmtId="0" fontId="17" fillId="0" borderId="15" xfId="0" applyFont="1" applyFill="1" applyBorder="1" applyAlignment="1">
      <alignment horizontal="center" wrapText="1"/>
    </xf>
    <xf numFmtId="0" fontId="6" fillId="0" borderId="0" xfId="0" applyFont="1" applyFill="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0" fontId="20" fillId="0" borderId="68" xfId="0" applyFont="1" applyBorder="1" applyAlignment="1">
      <alignment horizontal="center" vertical="top" wrapText="1"/>
    </xf>
    <xf numFmtId="0" fontId="20" fillId="0" borderId="49" xfId="0" applyFont="1" applyBorder="1" applyAlignment="1">
      <alignment horizontal="center" vertical="top" wrapText="1"/>
    </xf>
    <xf numFmtId="0" fontId="21" fillId="35" borderId="47" xfId="0" applyFont="1" applyFill="1" applyBorder="1" applyAlignment="1">
      <alignment horizontal="center" vertical="top" wrapText="1"/>
    </xf>
    <xf numFmtId="0" fontId="21" fillId="35" borderId="64" xfId="0" applyFont="1" applyFill="1" applyBorder="1" applyAlignment="1">
      <alignment horizontal="center" vertical="top" wrapText="1"/>
    </xf>
    <xf numFmtId="0" fontId="21" fillId="35" borderId="69" xfId="0" applyFont="1" applyFill="1" applyBorder="1" applyAlignment="1">
      <alignment horizontal="center" vertical="top" wrapText="1"/>
    </xf>
    <xf numFmtId="0" fontId="21" fillId="35" borderId="68" xfId="0" applyFont="1" applyFill="1" applyBorder="1" applyAlignment="1">
      <alignment horizontal="center" vertical="top" wrapText="1"/>
    </xf>
    <xf numFmtId="0" fontId="21" fillId="35" borderId="70" xfId="0" applyFont="1" applyFill="1" applyBorder="1" applyAlignment="1">
      <alignment horizontal="center" vertical="top" wrapText="1"/>
    </xf>
    <xf numFmtId="0" fontId="21" fillId="35" borderId="49" xfId="0" applyFont="1" applyFill="1" applyBorder="1" applyAlignment="1">
      <alignment horizontal="center" vertical="top" wrapText="1"/>
    </xf>
    <xf numFmtId="0" fontId="21" fillId="35" borderId="68" xfId="0" applyFont="1" applyFill="1" applyBorder="1" applyAlignment="1">
      <alignment vertical="top" wrapText="1"/>
    </xf>
    <xf numFmtId="0" fontId="21" fillId="35" borderId="70" xfId="0" applyFont="1" applyFill="1" applyBorder="1" applyAlignment="1">
      <alignment vertical="top" wrapText="1"/>
    </xf>
    <xf numFmtId="0" fontId="21" fillId="35" borderId="49" xfId="0" applyFont="1" applyFill="1" applyBorder="1" applyAlignment="1">
      <alignment vertical="top" wrapText="1"/>
    </xf>
    <xf numFmtId="0" fontId="21" fillId="0" borderId="66" xfId="0" applyFont="1" applyBorder="1" applyAlignment="1">
      <alignment horizontal="center"/>
    </xf>
    <xf numFmtId="0" fontId="0" fillId="0" borderId="67" xfId="0" applyBorder="1" applyAlignment="1">
      <alignment/>
    </xf>
    <xf numFmtId="0" fontId="0" fillId="0" borderId="24" xfId="0" applyBorder="1" applyAlignment="1">
      <alignment/>
    </xf>
    <xf numFmtId="0" fontId="21" fillId="0" borderId="19" xfId="0" applyFont="1" applyBorder="1" applyAlignment="1">
      <alignment horizontal="center"/>
    </xf>
    <xf numFmtId="0" fontId="0" fillId="0" borderId="20" xfId="0" applyBorder="1" applyAlignment="1">
      <alignment/>
    </xf>
    <xf numFmtId="0" fontId="21" fillId="0" borderId="19" xfId="0" applyFont="1" applyBorder="1" applyAlignment="1">
      <alignment/>
    </xf>
    <xf numFmtId="0" fontId="5" fillId="0" borderId="0" xfId="0" applyFont="1" applyBorder="1" applyAlignment="1">
      <alignment/>
    </xf>
    <xf numFmtId="43" fontId="0" fillId="0" borderId="15" xfId="0" applyNumberFormat="1" applyFont="1" applyFill="1" applyBorder="1" applyAlignment="1">
      <alignment horizontal="right" wrapText="1"/>
    </xf>
    <xf numFmtId="0" fontId="0" fillId="0" borderId="47" xfId="0" applyFont="1" applyFill="1" applyBorder="1" applyAlignment="1">
      <alignment wrapText="1"/>
    </xf>
    <xf numFmtId="0" fontId="0" fillId="0" borderId="69" xfId="0" applyFont="1" applyFill="1" applyBorder="1" applyAlignment="1">
      <alignment wrapText="1"/>
    </xf>
    <xf numFmtId="0" fontId="5" fillId="36" borderId="47" xfId="0" applyFont="1" applyFill="1" applyBorder="1" applyAlignment="1">
      <alignment horizontal="center" wrapText="1"/>
    </xf>
    <xf numFmtId="0" fontId="5" fillId="36" borderId="64" xfId="0" applyFont="1" applyFill="1" applyBorder="1" applyAlignment="1">
      <alignment horizontal="center" wrapText="1"/>
    </xf>
    <xf numFmtId="0" fontId="5" fillId="36" borderId="69" xfId="0" applyFont="1" applyFill="1" applyBorder="1" applyAlignment="1">
      <alignment horizontal="center" wrapText="1"/>
    </xf>
    <xf numFmtId="43" fontId="0" fillId="36" borderId="21" xfId="0" applyNumberFormat="1" applyFont="1" applyFill="1" applyBorder="1" applyAlignment="1">
      <alignment horizontal="right" wrapText="1"/>
    </xf>
    <xf numFmtId="43" fontId="0" fillId="36" borderId="22" xfId="0" applyNumberFormat="1" applyFont="1" applyFill="1" applyBorder="1" applyAlignment="1">
      <alignment horizontal="right" wrapText="1"/>
    </xf>
    <xf numFmtId="43" fontId="0" fillId="36" borderId="23" xfId="0" applyNumberFormat="1" applyFont="1" applyFill="1" applyBorder="1" applyAlignment="1">
      <alignment horizontal="right" wrapText="1"/>
    </xf>
    <xf numFmtId="0" fontId="21" fillId="36" borderId="68" xfId="0" applyFont="1" applyFill="1" applyBorder="1" applyAlignment="1">
      <alignment horizontal="center" wrapText="1"/>
    </xf>
    <xf numFmtId="0" fontId="21" fillId="36" borderId="49" xfId="0" applyFont="1" applyFill="1" applyBorder="1" applyAlignment="1">
      <alignment horizontal="center" wrapText="1"/>
    </xf>
    <xf numFmtId="0" fontId="21" fillId="36" borderId="66" xfId="0" applyFont="1" applyFill="1" applyBorder="1" applyAlignment="1">
      <alignment horizontal="center" wrapText="1"/>
    </xf>
    <xf numFmtId="0" fontId="21" fillId="36" borderId="67" xfId="0" applyFont="1" applyFill="1" applyBorder="1" applyAlignment="1">
      <alignment horizontal="center" wrapText="1"/>
    </xf>
    <xf numFmtId="0" fontId="21" fillId="36" borderId="24" xfId="0" applyFont="1" applyFill="1" applyBorder="1" applyAlignment="1">
      <alignment horizontal="center" wrapText="1"/>
    </xf>
    <xf numFmtId="0" fontId="21" fillId="36" borderId="19" xfId="0" applyFont="1" applyFill="1" applyBorder="1" applyAlignment="1">
      <alignment horizontal="center" wrapText="1"/>
    </xf>
    <xf numFmtId="0" fontId="21" fillId="36" borderId="0" xfId="0" applyFont="1" applyFill="1" applyBorder="1" applyAlignment="1">
      <alignment horizontal="center" wrapText="1"/>
    </xf>
    <xf numFmtId="0" fontId="21" fillId="36" borderId="20" xfId="0" applyFont="1" applyFill="1" applyBorder="1" applyAlignment="1">
      <alignment horizontal="center" wrapText="1"/>
    </xf>
    <xf numFmtId="0" fontId="2" fillId="0" borderId="47" xfId="0" applyFont="1" applyBorder="1" applyAlignment="1">
      <alignment horizontal="center" wrapText="1"/>
    </xf>
    <xf numFmtId="0" fontId="2" fillId="0" borderId="64" xfId="0" applyFont="1" applyBorder="1" applyAlignment="1">
      <alignment horizontal="center" wrapText="1"/>
    </xf>
    <xf numFmtId="0" fontId="2" fillId="0" borderId="69" xfId="0" applyFont="1" applyBorder="1" applyAlignment="1">
      <alignment horizontal="center" wrapText="1"/>
    </xf>
    <xf numFmtId="0" fontId="0" fillId="0" borderId="47" xfId="0" applyFont="1" applyBorder="1" applyAlignment="1">
      <alignment wrapText="1"/>
    </xf>
    <xf numFmtId="0" fontId="0" fillId="0" borderId="69" xfId="0" applyFont="1" applyBorder="1" applyAlignment="1">
      <alignment wrapText="1"/>
    </xf>
    <xf numFmtId="0" fontId="5" fillId="0" borderId="47" xfId="0" applyFont="1" applyBorder="1" applyAlignment="1">
      <alignment horizontal="center" wrapText="1"/>
    </xf>
    <xf numFmtId="0" fontId="5" fillId="0" borderId="64" xfId="0" applyFont="1" applyBorder="1" applyAlignment="1">
      <alignment horizontal="center" wrapText="1"/>
    </xf>
    <xf numFmtId="0" fontId="5" fillId="0" borderId="69" xfId="0" applyFont="1" applyBorder="1" applyAlignment="1">
      <alignment horizontal="center" wrapText="1"/>
    </xf>
    <xf numFmtId="43" fontId="0" fillId="0" borderId="15" xfId="0" applyNumberFormat="1" applyFont="1" applyFill="1" applyBorder="1" applyAlignment="1">
      <alignment horizontal="center" wrapText="1"/>
    </xf>
    <xf numFmtId="0" fontId="21" fillId="36" borderId="21" xfId="0" applyFont="1" applyFill="1" applyBorder="1" applyAlignment="1">
      <alignment horizontal="center" wrapText="1"/>
    </xf>
    <xf numFmtId="0" fontId="21" fillId="36" borderId="23" xfId="0" applyFont="1" applyFill="1" applyBorder="1" applyAlignment="1">
      <alignment horizontal="center" wrapText="1"/>
    </xf>
    <xf numFmtId="0" fontId="1" fillId="0" borderId="66" xfId="0" applyFont="1" applyBorder="1" applyAlignment="1">
      <alignment horizontal="center" wrapText="1"/>
    </xf>
    <xf numFmtId="0" fontId="2" fillId="0" borderId="67" xfId="0" applyFont="1" applyBorder="1" applyAlignment="1">
      <alignment horizontal="center" wrapText="1"/>
    </xf>
    <xf numFmtId="0" fontId="2" fillId="0" borderId="24"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67"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wrapText="1"/>
    </xf>
    <xf numFmtId="0" fontId="1" fillId="0" borderId="0"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21" fillId="36" borderId="70" xfId="0" applyFont="1" applyFill="1" applyBorder="1" applyAlignment="1">
      <alignment horizont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6"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104775</xdr:rowOff>
    </xdr:from>
    <xdr:to>
      <xdr:col>6</xdr:col>
      <xdr:colOff>962025</xdr:colOff>
      <xdr:row>29</xdr:row>
      <xdr:rowOff>0</xdr:rowOff>
    </xdr:to>
    <xdr:sp>
      <xdr:nvSpPr>
        <xdr:cNvPr id="1" name="Rectangle 1"/>
        <xdr:cNvSpPr>
          <a:spLocks/>
        </xdr:cNvSpPr>
      </xdr:nvSpPr>
      <xdr:spPr>
        <a:xfrm>
          <a:off x="0" y="3124200"/>
          <a:ext cx="9258300"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 Os parâmetros acima foram utilizados para as projeções de receitas e despesas, bem como para os cálculos em valores correntes e constantes, de acordo com sua pertinência, ou não com as origem/espécie/rubrica de receita e/ou grupo de natureza de despesa.                                                             
</a:t>
          </a:r>
          <a:r>
            <a:rPr lang="en-US" cap="none" sz="1000" b="0" i="0" u="none" baseline="0">
              <a:solidFill>
                <a:srgbClr val="000000"/>
              </a:solidFill>
              <a:latin typeface="Arial"/>
              <a:ea typeface="Arial"/>
              <a:cs typeface="Arial"/>
            </a:rPr>
            <a:t>2 - Os percentuais referentes ao IPCA,  Variação do PIB, Taxa Slic e Taxa de Câmbio foram extraídos do Siste de Expectativas de Mercado do Banco Central do Brasil (https://www3.bcb.gov.br/expectativas/publico/consulta/serieestatisticas) </a:t>
          </a:r>
        </a:p>
      </xdr:txBody>
    </xdr:sp>
    <xdr:clientData/>
  </xdr:twoCellAnchor>
  <xdr:twoCellAnchor>
    <xdr:from>
      <xdr:col>6</xdr:col>
      <xdr:colOff>371475</xdr:colOff>
      <xdr:row>26</xdr:row>
      <xdr:rowOff>0</xdr:rowOff>
    </xdr:from>
    <xdr:to>
      <xdr:col>6</xdr:col>
      <xdr:colOff>381000</xdr:colOff>
      <xdr:row>26</xdr:row>
      <xdr:rowOff>0</xdr:rowOff>
    </xdr:to>
    <xdr:sp>
      <xdr:nvSpPr>
        <xdr:cNvPr id="2" name="Line 8"/>
        <xdr:cNvSpPr>
          <a:spLocks/>
        </xdr:cNvSpPr>
      </xdr:nvSpPr>
      <xdr:spPr>
        <a:xfrm flipH="1">
          <a:off x="86677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26</xdr:row>
      <xdr:rowOff>76200</xdr:rowOff>
    </xdr:from>
    <xdr:to>
      <xdr:col>6</xdr:col>
      <xdr:colOff>47625</xdr:colOff>
      <xdr:row>65</xdr:row>
      <xdr:rowOff>95250</xdr:rowOff>
    </xdr:to>
    <xdr:sp>
      <xdr:nvSpPr>
        <xdr:cNvPr id="1" name="Rectangle 1"/>
        <xdr:cNvSpPr>
          <a:spLocks/>
        </xdr:cNvSpPr>
      </xdr:nvSpPr>
      <xdr:spPr>
        <a:xfrm>
          <a:off x="304800" y="5219700"/>
          <a:ext cx="5791200"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tributos que serão objeto de renúncia fiscal de receita, identificando seus valores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que serve para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pelos arts. 13 e, 60 do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47</xdr:row>
      <xdr:rowOff>28575</xdr:rowOff>
    </xdr:to>
    <xdr:sp>
      <xdr:nvSpPr>
        <xdr:cNvPr id="1" name="Rectangle 1"/>
        <xdr:cNvSpPr>
          <a:spLocks/>
        </xdr:cNvSpPr>
      </xdr:nvSpPr>
      <xdr:spPr>
        <a:xfrm>
          <a:off x="123825" y="4876800"/>
          <a:ext cx="6429375" cy="3505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rPr>
            <a:t> A Demonstração da margem de expansão das despesas obrigatórias de caráter continuado visa a assegurar que não haverá criação de nova despesa sem a correspondente fonte de financiamento. 
</a:t>
          </a:r>
          <a:r>
            <a:rPr lang="en-US" cap="none" sz="1200" b="0" i="0" u="none" baseline="0">
              <a:solidFill>
                <a:srgbClr val="000000"/>
              </a:solidFill>
            </a:rPr>
            <a:t>
</a:t>
          </a:r>
          <a:r>
            <a:rPr lang="en-US" cap="none" sz="1200" b="0" i="0" u="none" baseline="0">
              <a:solidFill>
                <a:srgbClr val="000000"/>
              </a:solidFil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200" b="0" i="0" u="none" baseline="0">
              <a:solidFill>
                <a:srgbClr val="000000"/>
              </a:solidFill>
              <a:latin typeface="Arial"/>
              <a:ea typeface="Arial"/>
              <a:cs typeface="Arial"/>
            </a:rPr>
            <a:t>§</a:t>
          </a:r>
          <a:r>
            <a:rPr lang="en-US" cap="none" sz="1200" b="0" i="0" u="none" baseline="0">
              <a:solidFill>
                <a:srgbClr val="000000"/>
              </a:solidFill>
            </a:rPr>
            <a:t> 2º, inciso V da LRF.
</a:t>
          </a:r>
          <a:r>
            <a:rPr lang="en-US" cap="none" sz="1200" b="0" i="0" u="none" baseline="0">
              <a:solidFill>
                <a:srgbClr val="000000"/>
              </a:solidFill>
            </a:rPr>
            <a:t>
</a:t>
          </a:r>
          <a:r>
            <a:rPr lang="en-US" cap="none" sz="1200" b="0" i="0" u="none" baseline="0">
              <a:solidFill>
                <a:srgbClr val="000000"/>
              </a:solidFill>
            </a:rPr>
            <a:t>Desse modo, para estimar o aumento permanente das receitas em 2022 considerou-se o incremento real, ou seja, a diferença entre os valores estimados a preços constantes das receitas  trbutárias e de transferências correntes, no biênio 2021-2022
</a:t>
          </a:r>
          <a:r>
            <a:rPr lang="en-US" cap="none" sz="1200" b="0" i="0" u="none" baseline="0">
              <a:solidFill>
                <a:srgbClr val="000000"/>
              </a:solidFill>
            </a:rPr>
            <a:t>
</a:t>
          </a:r>
          <a:r>
            <a:rPr lang="en-US" cap="none" sz="1200" b="0" i="0" u="none" baseline="0">
              <a:solidFill>
                <a:srgbClr val="000000"/>
              </a:solidFill>
            </a:rPr>
            <a:t>Na mesma linha, o aumento permandente das despesas de caráter obrigatório que terão impacto em 2022, foi calculado pela diferença a valores constantes, observada no biênio 2020-2021 nos grupos de natureza de despesa "Pessoal" e "Outras Despesas Correntes", chegando-se, assim, ao saldo da margem líquida de expansão.  Quando negativo (</a:t>
          </a:r>
          <a:r>
            <a:rPr lang="en-US" cap="none" sz="1200" b="1" i="0" u="none" baseline="0">
              <a:solidFill>
                <a:srgbClr val="000000"/>
              </a:solidFill>
            </a:rPr>
            <a:t>SEM MARGEM</a:t>
          </a:r>
          <a:r>
            <a:rPr lang="en-US" cap="none" sz="1200" b="0" i="0" u="none" baseline="0">
              <a:solidFill>
                <a:srgbClr val="000000"/>
              </a:solidFill>
            </a:rPr>
            <a:t>), o resultado apresentado </a:t>
          </a:r>
          <a:r>
            <a:rPr lang="en-US" cap="none" sz="1200" b="0" i="0" u="none" baseline="0">
              <a:solidFill>
                <a:srgbClr val="000000"/>
              </a:solidFill>
            </a:rPr>
            <a:t>é meramente indicativo de alerta para a criação de novas DOCC</a:t>
          </a:r>
          <a:r>
            <a:rPr lang="en-US" cap="none" sz="1200" b="1" i="0" u="none" baseline="0">
              <a:solidFill>
                <a:srgbClr val="000000"/>
              </a:solidFill>
            </a:rPr>
            <a:t>.  Quando for positivo </a:t>
          </a:r>
          <a:r>
            <a:rPr lang="en-US" cap="none" sz="1200" b="0" i="0" u="none" baseline="0">
              <a:solidFill>
                <a:srgbClr val="000000"/>
              </a:solidFill>
            </a:rPr>
            <a:t>é indicativo da possibilidade</a:t>
          </a:r>
          <a:r>
            <a:rPr lang="en-US" cap="none" sz="1200" b="0" i="0" u="none" baseline="0">
              <a:solidFill>
                <a:srgbClr val="000000"/>
              </a:solidFill>
            </a:rPr>
            <a:t> de </a:t>
          </a:r>
          <a:r>
            <a:rPr lang="en-US" cap="none" sz="1200" b="0" i="0" u="none" baseline="0">
              <a:solidFill>
                <a:srgbClr val="000000"/>
              </a:solidFill>
            </a:rPr>
            <a:t>criação de novas DOCC.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21</xdr:row>
      <xdr:rowOff>142875</xdr:rowOff>
    </xdr:from>
    <xdr:to>
      <xdr:col>1</xdr:col>
      <xdr:colOff>2657475</xdr:colOff>
      <xdr:row>26</xdr:row>
      <xdr:rowOff>133350</xdr:rowOff>
    </xdr:to>
    <xdr:sp>
      <xdr:nvSpPr>
        <xdr:cNvPr id="1" name="Rectangle 1"/>
        <xdr:cNvSpPr>
          <a:spLocks/>
        </xdr:cNvSpPr>
      </xdr:nvSpPr>
      <xdr:spPr>
        <a:xfrm>
          <a:off x="352425" y="4476750"/>
          <a:ext cx="5581650"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Declaramos para os devidos fins, que a expansão das despesas obrigatórias de caráter continuado, no exercício financeiro de 2022, adequar-se-ão às receitas do Município.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40</xdr:row>
      <xdr:rowOff>133350</xdr:rowOff>
    </xdr:to>
    <xdr:sp>
      <xdr:nvSpPr>
        <xdr:cNvPr id="1" name="Rectangle 2"/>
        <xdr:cNvSpPr>
          <a:spLocks/>
        </xdr:cNvSpPr>
      </xdr:nvSpPr>
      <xdr:spPr>
        <a:xfrm>
          <a:off x="180975" y="5362575"/>
          <a:ext cx="6791325" cy="2162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3º da LRF.                                                                             1 - Os valores referente aos </a:t>
          </a:r>
          <a:r>
            <a:rPr lang="en-US" cap="none" sz="1000" b="1" i="0" u="none" baseline="0">
              <a:solidFill>
                <a:srgbClr val="000000"/>
              </a:solidFill>
              <a:latin typeface="Arial"/>
              <a:ea typeface="Arial"/>
              <a:cs typeface="Arial"/>
            </a:rPr>
            <a:t>PASSIVOS CONTINGENTES</a:t>
          </a:r>
          <a:r>
            <a:rPr lang="en-US" cap="none" sz="1000" b="0" i="0" u="none" baseline="0">
              <a:solidFill>
                <a:srgbClr val="000000"/>
              </a:solidFill>
              <a:latin typeface="Arial"/>
              <a:ea typeface="Arial"/>
              <a:cs typeface="Arial"/>
            </a:rPr>
            <a:t>, representam a estimativa de </a:t>
          </a:r>
          <a:r>
            <a:rPr lang="en-US" cap="none" sz="1100" b="0" i="0" u="none" baseline="0">
              <a:solidFill>
                <a:srgbClr val="000000"/>
              </a:solidFill>
            </a:rPr>
            <a:t>possível obrigações em 2022,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2022.                                                                                                           2 -  Os </a:t>
          </a:r>
          <a:r>
            <a:rPr lang="en-US" cap="none" sz="1100" b="1" i="0" u="none" baseline="0">
              <a:solidFill>
                <a:srgbClr val="000000"/>
              </a:solidFill>
            </a:rPr>
            <a:t>DEMAIS RISCOS FISCAIS PASSIVOS </a:t>
          </a:r>
          <a:r>
            <a:rPr lang="en-US" cap="none" sz="1100" b="0" i="0" u="none" baseline="0">
              <a:solidFill>
                <a:srgbClr val="000000"/>
              </a:solidFill>
            </a:rPr>
            <a:t>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a:t>
          </a:r>
          <a:r>
            <a:rPr lang="en-US" cap="none" sz="1100" b="0" i="0" u="none" baseline="0">
              <a:solidFill>
                <a:srgbClr val="000000"/>
              </a:solidFill>
            </a:rPr>
            <a:t>fixadas (abertura de créditos especiais e/opu extraordinários) ou orçadas a menor (créditos suplementares).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25</xdr:row>
      <xdr:rowOff>142875</xdr:rowOff>
    </xdr:from>
    <xdr:to>
      <xdr:col>6</xdr:col>
      <xdr:colOff>485775</xdr:colOff>
      <xdr:row>35</xdr:row>
      <xdr:rowOff>114300</xdr:rowOff>
    </xdr:to>
    <xdr:sp>
      <xdr:nvSpPr>
        <xdr:cNvPr id="1" name="Rectangle 6"/>
        <xdr:cNvSpPr>
          <a:spLocks/>
        </xdr:cNvSpPr>
      </xdr:nvSpPr>
      <xdr:spPr>
        <a:xfrm>
          <a:off x="342900" y="5248275"/>
          <a:ext cx="87915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37</xdr:row>
      <xdr:rowOff>104775</xdr:rowOff>
    </xdr:from>
    <xdr:to>
      <xdr:col>13</xdr:col>
      <xdr:colOff>95250</xdr:colOff>
      <xdr:row>90</xdr:row>
      <xdr:rowOff>47625</xdr:rowOff>
    </xdr:to>
    <xdr:sp>
      <xdr:nvSpPr>
        <xdr:cNvPr id="1" name="Rectangle 3"/>
        <xdr:cNvSpPr>
          <a:spLocks/>
        </xdr:cNvSpPr>
      </xdr:nvSpPr>
      <xdr:spPr>
        <a:xfrm>
          <a:off x="76200" y="7210425"/>
          <a:ext cx="12887325" cy="852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Item 02.00.02.01 do Manual dos Demonstrativos Fiscais, as METAS FISCAIS representam os resultados a serem alcançados para variáveis fiscais visando atingir os objetivos desejados quanto à trajetória de endividamento no médio prazo. Pelo princípio da gestão fiscal responsável, as metas representam a conexão entre o planejamento, a elaboração e a execução do orçamento. Esses parâmetros indicam os rumos da condução da política fiscal para os próximos exercícios e servem de indicadores para a promoção da limitação de empenho e de movimentação financeira.</a:t>
          </a:r>
          <a:r>
            <a:rPr lang="en-US" cap="none" sz="1100" b="0" i="0" u="none" baseline="0">
              <a:solidFill>
                <a:srgbClr val="000000"/>
              </a:solidFill>
            </a:rPr>
            <a:t>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ressaltando-se que, para fins de equilibrio formal entre os valores previstos, e de acordo com as instruções do Item 03.06.05.01 do Manual dos Demonstrativbos Fiscais, os valores projetados da Reserva de Contingência estão sendo somados às despesas primárias.
</a:t>
          </a:r>
          <a:r>
            <a:rPr lang="en-US" cap="none" sz="1100" b="0" i="0" u="none" baseline="0">
              <a:solidFill>
                <a:srgbClr val="000000"/>
              </a:solidFill>
            </a:rPr>
            <a:t>4 – o resultado nominal que, para fins do Anexo e avaliação das metas fiscais deve ser calculado pelo critério ACIMA DA LINHA foi obtido a partir do resultado primário somado ao resultado da comperação entre  os juros ativos e passivos, representado a variação do estoque da dívida;                    
</a:t>
          </a:r>
          <a:r>
            <a:rPr lang="en-US" cap="none" sz="1100" b="0" i="0" u="none" baseline="0">
              <a:solidFill>
                <a:srgbClr val="000000"/>
              </a:solidFill>
            </a:rPr>
            <a:t>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a:t>
          </a:r>
          <a:r>
            <a:rPr lang="en-US" cap="none" sz="1100" b="0" i="0" u="none" baseline="0">
              <a:solidFill>
                <a:srgbClr val="000000"/>
              </a:solidFill>
            </a:rPr>
            <a:t>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(2020, 2021 e 2022) e os valores reestimados para o exercício atual (2023),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Em relação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2023, 2024 e 2025, considerou-se um crescimento do Produto Interno Bruto nacional de  2,50%,  2,50% e  2,50% e das taxas de inflação (IPCA), de    5,00%,  5,00% e 5,00%, respectivamente, cujas projeções decorrem do sistema de expectativa de mercado, segundo informações do sítio do Banco Central do Brasil, verificadas em  21/06/2022.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a:t>
          </a:r>
          <a:r>
            <a:rPr lang="en-US" cap="none" sz="1100" b="0" i="0" u="none" baseline="0">
              <a:solidFill>
                <a:srgbClr val="000000"/>
              </a:solidFill>
            </a:rPr>
            <a:t>§</a:t>
          </a:r>
          <a:r>
            <a:rPr lang="en-US" cap="none" sz="1100" b="0" i="0" u="none" baseline="0">
              <a:solidFill>
                <a:srgbClr val="000000"/>
              </a:solidFill>
            </a:rPr>
            <a:t> 3º, do art. 1º da Lei Complementar nº 101/00, compreende as receitas de todos os órgãos da Administração Pública Municipal, inclusive as receitas intraorçamentárias.
</a:t>
          </a:r>
          <a:r>
            <a:rPr lang="en-US" cap="none" sz="1100" b="1" i="0" u="none" baseline="0">
              <a:solidFill>
                <a:srgbClr val="000000"/>
              </a:solidFill>
            </a:rPr>
            <a:t>6 -</a:t>
          </a:r>
          <a:r>
            <a:rPr lang="en-US" cap="none" sz="1100" b="0" i="0" u="none" baseline="0">
              <a:solidFill>
                <a:srgbClr val="000000"/>
              </a:solidFill>
            </a:rPr>
            <a:t> Em relação ao cálculo do Resultado Primário e do Resultado Nominal, considerou a metodologia estabelecida na Portaria STN nº 375/2020 e suas alterações.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2022. O resultado nominal reflete a variação do endividamento fiscal líquido entre as datas referidas.  A memória de cálculo do Resultao Primário e Nominal pelo critério acima da linha está especificada </a:t>
          </a:r>
          <a:r>
            <a:rPr lang="en-US" cap="none" sz="1100" b="1" i="0" u="none" baseline="0">
              <a:solidFill>
                <a:srgbClr val="000000"/>
              </a:solidFill>
            </a:rPr>
            <a:t>na Tabela 06.
</a:t>
          </a:r>
          <a:r>
            <a:rPr lang="en-US" cap="none" sz="1100" b="1" i="0" u="none" baseline="0">
              <a:solidFill>
                <a:srgbClr val="000000"/>
              </a:solidFill>
            </a:rPr>
            <a:t>7 -</a:t>
          </a:r>
          <a:r>
            <a:rPr lang="en-US" cap="none" sz="1100" b="0" i="0" u="none" baseline="0">
              <a:solidFill>
                <a:srgbClr val="000000"/>
              </a:solidFill>
            </a:rPr>
            <a:t> Na estimativa do montante da dívida consolidada para 2023, 2024 e 2025, utilizou-se, como parâmetro de correção a previsão da média anual para a taxa de juros SELIC,  de 12,00%, 11,00% e 10,00%, segundo informações do sítio do Banco Central do Brasil, verificadas em  21/06/2022.  
</a:t>
          </a:r>
          <a:r>
            <a:rPr lang="en-US" cap="none" sz="1100" b="1" i="0" u="none" baseline="0">
              <a:solidFill>
                <a:srgbClr val="000000"/>
              </a:solidFill>
            </a:rPr>
            <a:t>8 -</a:t>
          </a:r>
          <a:r>
            <a:rPr lang="en-US" cap="none" sz="1100" b="0" i="0" u="none" baseline="0">
              <a:solidFill>
                <a:srgbClr val="000000"/>
              </a:solidFill>
            </a:rPr>
            <a:t> Já na apuração do montante da dívida líquida, os valores das Disponibilidades Financeiras foram calculados levando-se em consideração o provável saldo existente em 31/12/2022, projetando-se os valores futuros com base nos percentuais médios dos valores realizados no ano anterior.
</a:t>
          </a:r>
          <a:r>
            <a:rPr lang="en-US" cap="none" sz="1100" b="1" i="0" u="none" baseline="0">
              <a:solidFill>
                <a:srgbClr val="000000"/>
              </a:solidFill>
            </a:rPr>
            <a:t>9 -</a:t>
          </a:r>
          <a:r>
            <a:rPr lang="en-US" cap="none" sz="1100" b="0" i="0" u="none" baseline="0">
              <a:solidFill>
                <a:srgbClr val="000000"/>
              </a:solidFill>
            </a:rPr>
            <a:t> Isso posto, podemos elencar, a partir da leitura das projeções estabelecidas para o ano de referência da LDO, os números mais representativos no contexto das projeções:
</a:t>
          </a:r>
          <a:r>
            <a:rPr lang="en-US" cap="none" sz="1100" b="1" i="0" u="none" baseline="0">
              <a:solidFill>
                <a:srgbClr val="000000"/>
              </a:solidFill>
            </a:rPr>
            <a:t>9.1 -</a:t>
          </a:r>
          <a:r>
            <a:rPr lang="en-US" cap="none" sz="1100" b="0" i="0" u="none" baseline="0">
              <a:solidFill>
                <a:srgbClr val="000000"/>
              </a:solidFill>
            </a:rPr>
            <a:t> A receita total estimada para o exercício de 2023, consideradas todas as fontes de recursos é de R$ 35.079.853,30, a preços correntes que, deduzidas das receitas financeiras, representadas pelos Rendimentos das Aplicações Financeiras R$ 0,00, das resultantes de Operações de Crédito R$  3.000.000,00, das Alienações de Investimentos R$ 21.637,33 e das resultantes de Amortização de Empréstimos Concedidos R$ 0,00, e ainda a dedução das receitas intraorçamentárias,  resultam numa Receita Primária de R$ 32.058.215,97. 
</a:t>
          </a:r>
          <a:r>
            <a:rPr lang="en-US" cap="none" sz="1100" b="1" i="0" u="none" baseline="0">
              <a:solidFill>
                <a:srgbClr val="000000"/>
              </a:solidFill>
            </a:rPr>
            <a:t>9.2 -</a:t>
          </a:r>
          <a:r>
            <a:rPr lang="en-US" cap="none" sz="1100" b="0" i="0" u="none" baseline="0">
              <a:solidFill>
                <a:srgbClr val="000000"/>
              </a:solidFill>
            </a:rPr>
            <a:t> As despesas do Município foram programadas segundo o comportamento previsto da receita, sendo que o maior objetivo é manter, ou ainda, ampliar a capacidade própria de investimentos, sem comprometer o equilíbrio financeiro. Assim, consideradas todas as fontes de recursos, a despesa total está prevista em R$ 35.079.853,30. Deduzindo-se as despesas financeiras com juros e encargos da dívida, estimadas em R$ 420.000,00 mais as despesas com Concessão de Empréstimos e Financiamentos, no valor de R$ 0,00 a Amortização da Dívida Publica, estimada em R$  650.000,00 e, ainda, as despesas intraorçamentárias,   tem-se que as despesas primárias para 2022 foram previstas em R$ 29.234.189,20.  </a:t>
          </a:r>
          <a:r>
            <a:rPr lang="en-US" cap="none" sz="1100" b="1" i="0" u="none" baseline="0">
              <a:solidFill>
                <a:srgbClr val="000000"/>
              </a:solidFill>
            </a:rPr>
            <a:t>A tabela 02 </a:t>
          </a:r>
          <a:r>
            <a:rPr lang="en-US" cap="none" sz="1100" b="0" i="0" u="none" baseline="0">
              <a:solidFill>
                <a:srgbClr val="000000"/>
              </a:solidFill>
            </a:rPr>
            <a:t>evidencia o detalhamento das projeções da receita e despesa.
</a:t>
          </a:r>
          <a:r>
            <a:rPr lang="en-US" cap="none" sz="1100" b="1" i="0" u="none" baseline="0">
              <a:solidFill>
                <a:srgbClr val="000000"/>
              </a:solidFill>
            </a:rPr>
            <a:t>9.3 -</a:t>
          </a:r>
          <a:r>
            <a:rPr lang="en-US" cap="none" sz="1100" b="0" i="0" u="none" baseline="0">
              <a:solidFill>
                <a:srgbClr val="000000"/>
              </a:solidFill>
            </a:rPr>
            <a:t> Cotejando-se o valor previsto para as receitas e despesas primárias em valores correntes, chega-se à meta de resultado primário de 2023 que foi inicialmente prevista em R$ 1.201.596,27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100" b="1" i="0" u="none" baseline="0">
              <a:solidFill>
                <a:srgbClr val="000000"/>
              </a:solidFill>
            </a:rPr>
            <a:t>10 -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18</xdr:row>
      <xdr:rowOff>114300</xdr:rowOff>
    </xdr:from>
    <xdr:to>
      <xdr:col>9</xdr:col>
      <xdr:colOff>409575</xdr:colOff>
      <xdr:row>22</xdr:row>
      <xdr:rowOff>114300</xdr:rowOff>
    </xdr:to>
    <xdr:sp>
      <xdr:nvSpPr>
        <xdr:cNvPr id="1" name="Rectangle 1"/>
        <xdr:cNvSpPr>
          <a:spLocks/>
        </xdr:cNvSpPr>
      </xdr:nvSpPr>
      <xdr:spPr>
        <a:xfrm>
          <a:off x="200025" y="3667125"/>
          <a:ext cx="9067800" cy="64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152400</xdr:rowOff>
    </xdr:from>
    <xdr:to>
      <xdr:col>9</xdr:col>
      <xdr:colOff>38100</xdr:colOff>
      <xdr:row>44</xdr:row>
      <xdr:rowOff>104775</xdr:rowOff>
    </xdr:to>
    <xdr:sp>
      <xdr:nvSpPr>
        <xdr:cNvPr id="1" name="Rectangle 1"/>
        <xdr:cNvSpPr>
          <a:spLocks/>
        </xdr:cNvSpPr>
      </xdr:nvSpPr>
      <xdr:spPr>
        <a:xfrm>
          <a:off x="85725" y="4219575"/>
          <a:ext cx="8372475" cy="3676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(2020), incluindo análise dos fatores determinantes para o alcance ou não dos valores estabelecidos como metas, visando a atender o disposto no art. 4º, </a:t>
          </a:r>
          <a:r>
            <a:rPr lang="en-US" cap="none" sz="1100" b="0" i="0" u="none" baseline="0">
              <a:solidFill>
                <a:srgbClr val="000000"/>
              </a:solidFill>
            </a:rPr>
            <a:t>§</a:t>
          </a:r>
          <a:r>
            <a:rPr lang="en-US" cap="none" sz="1100" b="0" i="0" u="none" baseline="0">
              <a:solidFill>
                <a:srgbClr val="000000"/>
              </a:solidFill>
            </a:rPr>
            <a:t> 2º, inciso I da LRF.
</a:t>
          </a:r>
          <a:r>
            <a:rPr lang="en-US" cap="none" sz="1100" b="0" i="0" u="none" baseline="0">
              <a:solidFill>
                <a:srgbClr val="000000"/>
              </a:solidFill>
            </a:rPr>
            <a:t> 
</a:t>
          </a:r>
          <a:r>
            <a:rPr lang="en-US" cap="none" sz="1100" b="0" i="0" u="none" baseline="0">
              <a:solidFill>
                <a:srgbClr val="000000"/>
              </a:solidFill>
            </a:rPr>
            <a:t>Assim, conforme demonstrado em audiência pública de avaliação das metas fiscais relativas ao terceiro quadrimestre do exercício financeiro de 2021 (art. 9º, </a:t>
          </a:r>
          <a:r>
            <a:rPr lang="en-US" cap="none" sz="1100" b="0" i="0" u="none" baseline="0">
              <a:solidFill>
                <a:srgbClr val="000000"/>
              </a:solidFill>
            </a:rPr>
            <a:t>§</a:t>
          </a:r>
          <a:r>
            <a:rPr lang="en-US" cap="none" sz="1100" b="0" i="0" u="none" baseline="0">
              <a:solidFill>
                <a:srgbClr val="000000"/>
              </a:solidFill>
            </a:rPr>
            <a:t> 4º da LRF), o resultado primário,  ficou em R$  3.081.046,330 valor  13,33%  superior  à meta estabelecida para o ano, que era de R$ 2.718.625,97. O desempenho verificado demonstra que o ingresso das receitas primárias (não financeiras) foi  capaz de suportar o total das despesas primárias (não financeiras) do exercício.
</a:t>
          </a:r>
          <a:r>
            <a:rPr lang="en-US" cap="none" sz="1100" b="0" i="0" u="none" baseline="0">
              <a:solidFill>
                <a:srgbClr val="000000"/>
              </a:solidFill>
            </a:rPr>
            <a:t> 
</a:t>
          </a:r>
          <a:r>
            <a:rPr lang="en-US" cap="none" sz="1100" b="0" i="0" u="none" baseline="0">
              <a:solidFill>
                <a:srgbClr val="000000"/>
              </a:solidFill>
            </a:rPr>
            <a:t>As receitas não financeiras totalizaram R$  27.046.994,47 superando  em 17,11% a projeção para o período de R$ 23.095.887,55. As despesas não financeiras atingiram R$ 23.965.948,14  estabelecendo-se  17,61%  acima  da previsão orçamentária. Não obstante a sua  expansão, corresponderam a 7,93 % do total das receitas primárias  não comprometendo, dessa forma, a obtenção do superávit primário.
</a:t>
          </a:r>
          <a:r>
            <a:rPr lang="en-US" cap="none" sz="1100" b="0" i="0" u="none" baseline="0">
              <a:solidFill>
                <a:srgbClr val="000000"/>
              </a:solidFill>
            </a:rPr>
            <a:t> 
</a:t>
          </a:r>
          <a:r>
            <a:rPr lang="en-US" cap="none" sz="1100" b="0" i="0" u="none" baseline="0">
              <a:solidFill>
                <a:srgbClr val="000000"/>
              </a:solidFill>
            </a:rPr>
            <a:t>Em parte, esse resultado é em decorrência do desempenho favorável  apresentado pela receita, tendo sido fortemente condicionado pelo comportamento das receitas correntes, que apresentaram um incremento de  10,82% em relação ao valor consignado no orçamento. Destaca-se no exercício de 2021 o desempenho dos grupos de receita tributária, patrimonial e de transferências correntes, que  superaram  a expectativa, respectivamente, em  2,70%,  13,87% e  11,30%. 
</a:t>
          </a:r>
          <a:r>
            <a:rPr lang="en-US" cap="none" sz="1100" b="0" i="0" u="none" baseline="0">
              <a:solidFill>
                <a:srgbClr val="000000"/>
              </a:solidFill>
            </a:rPr>
            <a:t> 
</a:t>
          </a:r>
          <a:r>
            <a:rPr lang="en-US" cap="none" sz="1100" b="0" i="0" u="none" baseline="0">
              <a:solidFill>
                <a:srgbClr val="000000"/>
              </a:solidFill>
            </a:rPr>
            <a:t>A dívida consolidada totalizou R$ 2.345.847,81 valor  -19,33% superior  ao saldo de R$ 562.009,65 estimado para o exercício. Tal comportamento é reflexo do aumento  dos desembolsos da amortização da dívida que totalizou em 2021 R$  314.316,62, valor  1,91% maior  que a projeção consignada na Lei do Orçamento de R$ 480.000,00. 
</a:t>
          </a:r>
          <a:r>
            <a:rPr lang="en-US" cap="none" sz="11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44</xdr:row>
      <xdr:rowOff>66675</xdr:rowOff>
    </xdr:to>
    <xdr:sp>
      <xdr:nvSpPr>
        <xdr:cNvPr id="1" name="Rectangle 1"/>
        <xdr:cNvSpPr>
          <a:spLocks/>
        </xdr:cNvSpPr>
      </xdr:nvSpPr>
      <xdr:spPr>
        <a:xfrm>
          <a:off x="266700" y="5429250"/>
          <a:ext cx="10553700" cy="199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Manualç dos DEmonstrativos Fiscais da STN, o objetivo do Demonstrativo é </a:t>
          </a:r>
          <a:r>
            <a:rPr lang="en-US" cap="none" sz="1100" b="1" i="0" u="none" baseline="0">
              <a:solidFill>
                <a:srgbClr val="000000"/>
              </a:solidFill>
            </a:rPr>
            <a:t>dar transparência às </a:t>
          </a:r>
          <a:r>
            <a:rPr lang="en-US" cap="none" sz="1100" b="0" i="0" u="none" baseline="0">
              <a:solidFill>
                <a:srgbClr val="000000"/>
              </a:solidFill>
            </a:rPr>
            <a:t>informações sobre as metas fiscais dos três exercícios anteriores e dos três exercícios seguintes, para uma melhor avaliação da política fiscal , de forma a permitir a análise da política fiscal em uma linha do tempo, combinando execução passada e
</a:t>
          </a:r>
          <a:r>
            <a:rPr lang="en-US" cap="none" sz="1100" b="0" i="0" u="none" baseline="0">
              <a:solidFill>
                <a:srgbClr val="000000"/>
              </a:solidFill>
            </a:rPr>
            <a:t>perspectivas futuras, validando a consistência dessas últimas.  Assim, são demonstradas </a:t>
          </a:r>
          <a:r>
            <a:rPr lang="en-US" cap="none" sz="1000" b="0" i="0" u="none" baseline="0">
              <a:solidFill>
                <a:srgbClr val="000000"/>
              </a:solidFill>
              <a:latin typeface="Arial"/>
              <a:ea typeface="Arial"/>
              <a:cs typeface="Arial"/>
            </a:rPr>
            <a:t>as metas fiscais previstas para o exercício da LDO (2022), em comparação com as estabelecidas para os três exercícios anteriores  (2020, 2021 e 2022), bem como para os dois seguintes (2024 e 2025),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2020, 2021 e 2022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2023, 2024 e 2025,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28575</xdr:rowOff>
    </xdr:from>
    <xdr:to>
      <xdr:col>6</xdr:col>
      <xdr:colOff>552450</xdr:colOff>
      <xdr:row>48</xdr:row>
      <xdr:rowOff>76200</xdr:rowOff>
    </xdr:to>
    <xdr:sp>
      <xdr:nvSpPr>
        <xdr:cNvPr id="1" name="Rectangle 1"/>
        <xdr:cNvSpPr>
          <a:spLocks/>
        </xdr:cNvSpPr>
      </xdr:nvSpPr>
      <xdr:spPr>
        <a:xfrm>
          <a:off x="142875" y="6162675"/>
          <a:ext cx="6800850" cy="3286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(2019, 2020 e 2021), cumprindo, dessa forma, o disposto no art. 4º, </a:t>
          </a:r>
          <a:r>
            <a:rPr lang="en-US" cap="none" sz="1100" b="0" i="0" u="none" baseline="0">
              <a:solidFill>
                <a:srgbClr val="000000"/>
              </a:solidFill>
            </a:rPr>
            <a:t>§</a:t>
          </a:r>
          <a:r>
            <a:rPr lang="en-US" cap="none" sz="1100" b="0" i="0" u="none" baseline="0">
              <a:solidFill>
                <a:srgbClr val="000000"/>
              </a:solidFill>
            </a:rPr>
            <a:t>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a:t>
          </a:r>
          <a:r>
            <a:rPr lang="en-US" cap="none" sz="1100" b="1" i="0" u="none" baseline="0">
              <a:solidFill>
                <a:srgbClr val="000000"/>
              </a:solidFill>
            </a:rPr>
            <a:t>foram considerados os valores de ajustes de exercícios anteriores</a:t>
          </a:r>
          <a:r>
            <a:rPr lang="en-US" cap="none" sz="1100" b="0" i="0" u="none" baseline="0">
              <a:solidFill>
                <a:srgbClr val="000000"/>
              </a:solidFill>
            </a:rPr>
            <a:t>,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É preciso enfatizar que a Administrão</a:t>
          </a:r>
          <a:r>
            <a:rPr lang="en-US" cap="none" sz="1100" b="0" i="0" u="none" baseline="0">
              <a:solidFill>
                <a:srgbClr val="000000"/>
              </a:solidFill>
            </a:rPr>
            <a:t> Direta d</a:t>
          </a:r>
          <a:r>
            <a:rPr lang="en-US" cap="none" sz="1100" b="0" i="0" u="none" baseline="0">
              <a:solidFill>
                <a:srgbClr val="000000"/>
              </a:solidFill>
            </a:rPr>
            <a:t>o Município, bem como</a:t>
          </a:r>
          <a:r>
            <a:rPr lang="en-US" cap="none" sz="1100" b="0" i="0" u="none" baseline="0">
              <a:solidFill>
                <a:srgbClr val="000000"/>
              </a:solidFill>
            </a:rPr>
            <a:t> as Autarquias e as Fundações Públicas, </a:t>
          </a:r>
          <a:r>
            <a:rPr lang="en-US" cap="none" sz="1100" b="0" i="0" u="none" baseline="0">
              <a:solidFill>
                <a:srgbClr val="000000"/>
              </a:solidFill>
            </a:rPr>
            <a:t> seguem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Em termos consolidados, a evolução do Patrimônio Líquido do Município, nos últimos três exercícios, demonstrada para o período de 2019 a 2021, aponta que o saldo patrimonial  aumentou  de R$  16.712.504,07 em 31.12.2019 para R$ 55.407.572,11 em 31.12.2021.   
</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0</xdr:rowOff>
    </xdr:from>
    <xdr:to>
      <xdr:col>3</xdr:col>
      <xdr:colOff>914400</xdr:colOff>
      <xdr:row>39</xdr:row>
      <xdr:rowOff>133350</xdr:rowOff>
    </xdr:to>
    <xdr:sp>
      <xdr:nvSpPr>
        <xdr:cNvPr id="1" name="Rectangle 1"/>
        <xdr:cNvSpPr>
          <a:spLocks/>
        </xdr:cNvSpPr>
      </xdr:nvSpPr>
      <xdr:spPr>
        <a:xfrm>
          <a:off x="104775" y="6315075"/>
          <a:ext cx="6667500" cy="1104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(2019,  2020 e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162</xdr:row>
      <xdr:rowOff>114300</xdr:rowOff>
    </xdr:from>
    <xdr:to>
      <xdr:col>5</xdr:col>
      <xdr:colOff>323850</xdr:colOff>
      <xdr:row>184</xdr:row>
      <xdr:rowOff>57150</xdr:rowOff>
    </xdr:to>
    <xdr:sp>
      <xdr:nvSpPr>
        <xdr:cNvPr id="1" name="Rectangle 1"/>
        <xdr:cNvSpPr>
          <a:spLocks/>
        </xdr:cNvSpPr>
      </xdr:nvSpPr>
      <xdr:spPr>
        <a:xfrm>
          <a:off x="28575" y="26174700"/>
          <a:ext cx="7591425" cy="3086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Este demonstrativo, visa a atender o estabelecido no art. 4</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2</a:t>
          </a:r>
          <a:r>
            <a:rPr lang="en-US" cap="none" sz="1000" b="0" i="0" u="none" baseline="0">
              <a:solidFill>
                <a:srgbClr val="000000"/>
              </a:solidFill>
            </a:rPr>
            <a:t>°</a:t>
          </a:r>
          <a:r>
            <a:rPr lang="en-US" cap="none" sz="10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a:t>
          </a:r>
          <a:r>
            <a:rPr lang="en-US" cap="none" sz="1100" b="0" i="0" u="none" baseline="0">
              <a:solidFill>
                <a:srgbClr val="000000"/>
              </a:solidFill>
            </a:rPr>
            <a:t>O objetivo principal é dar transparência à situação financeira e atuarial do RPPS para uma melhor avaliação do seu impacto nas metas fiscais fixadas, além de orientar a elaboração da LOA.</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000" b="0" i="0" u="none" baseline="0">
              <a:solidFill>
                <a:srgbClr val="000000"/>
              </a:solidFill>
            </a:rPr>
            <a:t> 
</a:t>
          </a:r>
          <a:r>
            <a:rPr lang="en-US" cap="none" sz="10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000" b="0" i="0" u="none" baseline="0">
              <a:solidFill>
                <a:srgbClr val="000000"/>
              </a:solidFill>
            </a:rPr>
            <a:t> 
</a:t>
          </a:r>
          <a:r>
            <a:rPr lang="en-US" cap="none" sz="1000" b="0" i="0" u="none" baseline="0">
              <a:solidFill>
                <a:srgbClr val="000000"/>
              </a:solidFill>
            </a:rPr>
            <a:t>Nesse contexto, os dados acima apresentados tiveram em como base:
</a:t>
          </a:r>
          <a:r>
            <a:rPr lang="en-US" cap="none" sz="10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2018, 2019 e 2020 e
</a:t>
          </a:r>
          <a:r>
            <a:rPr lang="en-US" cap="none" sz="1000" b="0" i="0" u="none" baseline="0">
              <a:solidFill>
                <a:srgbClr val="000000"/>
              </a:solidFill>
            </a:rPr>
            <a:t>b) o Anexo 10 do Relatório Resumido da Execução Orçamentária (RREO) - Demonstrativo da Projeção Atuarial do Regime de Previdência, publicado no último bimestre do exercício de 2020.
</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view="pageLayout" zoomScaleNormal="120" zoomScaleSheetLayoutView="70" workbookViewId="0" topLeftCell="A7">
      <selection activeCell="E10" sqref="E10"/>
    </sheetView>
  </sheetViews>
  <sheetFormatPr defaultColWidth="8.8515625" defaultRowHeight="12.75"/>
  <cols>
    <col min="1" max="1" width="53.57421875" style="30" customWidth="1"/>
    <col min="2" max="2" width="13.8515625" style="30" customWidth="1"/>
    <col min="3" max="3" width="13.57421875" style="30" customWidth="1"/>
    <col min="4" max="4" width="13.00390625" style="30" customWidth="1"/>
    <col min="5" max="5" width="14.57421875" style="30" customWidth="1"/>
    <col min="6" max="6" width="15.8515625" style="30" customWidth="1"/>
    <col min="7" max="7" width="15.140625" style="30" customWidth="1"/>
    <col min="8" max="16384" width="8.8515625" style="30" customWidth="1"/>
  </cols>
  <sheetData>
    <row r="1" ht="12" hidden="1"/>
    <row r="2" ht="12" hidden="1"/>
    <row r="3" ht="12" hidden="1"/>
    <row r="4" ht="12" hidden="1"/>
    <row r="5" ht="12" hidden="1"/>
    <row r="6" ht="15.75" customHeight="1" hidden="1"/>
    <row r="7" spans="1:10" ht="12">
      <c r="A7" s="572" t="s">
        <v>719</v>
      </c>
      <c r="B7" s="573"/>
      <c r="C7" s="573"/>
      <c r="D7" s="573"/>
      <c r="E7" s="573"/>
      <c r="F7" s="573"/>
      <c r="G7" s="573"/>
      <c r="H7" s="573"/>
      <c r="I7" s="573"/>
      <c r="J7" s="574"/>
    </row>
    <row r="8" spans="1:10" ht="12">
      <c r="A8" s="575" t="s">
        <v>716</v>
      </c>
      <c r="B8" s="573"/>
      <c r="C8" s="573"/>
      <c r="D8" s="573"/>
      <c r="E8" s="573"/>
      <c r="F8" s="573"/>
      <c r="G8" s="573"/>
      <c r="H8" s="573"/>
      <c r="I8" s="573"/>
      <c r="J8" s="574"/>
    </row>
    <row r="9" spans="1:10" ht="21" customHeight="1">
      <c r="A9" s="576" t="s">
        <v>588</v>
      </c>
      <c r="B9" s="577"/>
      <c r="C9" s="577"/>
      <c r="D9" s="577"/>
      <c r="E9" s="577"/>
      <c r="F9" s="577"/>
      <c r="G9" s="577"/>
      <c r="H9" s="578"/>
      <c r="I9" s="578"/>
      <c r="J9" s="579"/>
    </row>
    <row r="10" spans="1:10" ht="25.5" customHeight="1">
      <c r="A10" s="303" t="s">
        <v>464</v>
      </c>
      <c r="B10" s="303">
        <v>2020</v>
      </c>
      <c r="C10" s="303">
        <f>B10+1</f>
        <v>2021</v>
      </c>
      <c r="D10" s="303">
        <f>C10+1</f>
        <v>2022</v>
      </c>
      <c r="E10" s="303">
        <f>D10+1</f>
        <v>2023</v>
      </c>
      <c r="F10" s="303">
        <f>E10+1</f>
        <v>2024</v>
      </c>
      <c r="G10" s="303">
        <f>F10+1</f>
        <v>2025</v>
      </c>
      <c r="H10" s="38"/>
      <c r="I10" s="38"/>
      <c r="J10" s="38"/>
    </row>
    <row r="11" spans="1:7" ht="12.75">
      <c r="A11" s="304" t="s">
        <v>127</v>
      </c>
      <c r="B11" s="311">
        <v>0.0452</v>
      </c>
      <c r="C11" s="310">
        <v>0.1006</v>
      </c>
      <c r="D11" s="310">
        <v>0.0886</v>
      </c>
      <c r="E11" s="310">
        <v>0.05</v>
      </c>
      <c r="F11" s="310">
        <v>0.05</v>
      </c>
      <c r="G11" s="310">
        <v>0.05</v>
      </c>
    </row>
    <row r="12" spans="1:7" ht="12.75">
      <c r="A12" s="304" t="s">
        <v>128</v>
      </c>
      <c r="B12" s="311">
        <v>0.01</v>
      </c>
      <c r="C12" s="310">
        <v>0.015</v>
      </c>
      <c r="D12" s="310">
        <v>0.015</v>
      </c>
      <c r="E12" s="310">
        <v>0.025</v>
      </c>
      <c r="F12" s="310">
        <v>0.025</v>
      </c>
      <c r="G12" s="310">
        <v>0.025</v>
      </c>
    </row>
    <row r="13" spans="1:7" ht="12.75">
      <c r="A13" s="306" t="s">
        <v>129</v>
      </c>
      <c r="B13" s="537">
        <v>0.1198</v>
      </c>
      <c r="C13" s="537">
        <v>0.1058</v>
      </c>
      <c r="D13" s="537">
        <v>0.1</v>
      </c>
      <c r="E13" s="305">
        <f aca="true" t="shared" si="0" ref="E13:G20">(B13+C13+D13)/3</f>
        <v>0.10853333333333333</v>
      </c>
      <c r="F13" s="305">
        <f t="shared" si="0"/>
        <v>0.10477777777777779</v>
      </c>
      <c r="G13" s="305">
        <f t="shared" si="0"/>
        <v>0.10443703703703705</v>
      </c>
    </row>
    <row r="14" spans="1:7" ht="12.75">
      <c r="A14" s="307" t="s">
        <v>130</v>
      </c>
      <c r="B14" s="369">
        <f>IF(Projeções!C135=0,"0",((Projeções!D135/Projeções!C135)-1)-B11-B12)</f>
        <v>-0.09943599421451983</v>
      </c>
      <c r="C14" s="369">
        <f>IF(Projeções!D135=0,"0",((Projeções!E135/Projeções!D135)-1)-C11-C12)</f>
        <v>-0.10962869124758219</v>
      </c>
      <c r="D14" s="369">
        <f>IF(Projeções!E135=0,"0",((Projeções!F135/Projeções!E135)-1)-D11-D12)</f>
        <v>0.1780821253760444</v>
      </c>
      <c r="E14" s="305">
        <f t="shared" si="0"/>
        <v>-0.010327520028685875</v>
      </c>
      <c r="F14" s="305">
        <f t="shared" si="0"/>
        <v>0.019375304699925443</v>
      </c>
      <c r="G14" s="305">
        <f t="shared" si="0"/>
        <v>0.06237663668242799</v>
      </c>
    </row>
    <row r="15" spans="1:7" ht="12.75">
      <c r="A15" s="307" t="s">
        <v>131</v>
      </c>
      <c r="B15" s="369">
        <f>IF(Projeções!C9=0,"0",((Projeções!D9/Projeções!C9)-1)-B11-B12)</f>
        <v>1.0153312321760752</v>
      </c>
      <c r="C15" s="369">
        <f>IF(Projeções!D9=0,"0",((Projeções!E9/Projeções!D9)-1)-C11-C12)</f>
        <v>-0.5446574815608908</v>
      </c>
      <c r="D15" s="369">
        <f>IF(Projeções!E9=0,"0",((Projeções!F9/Projeções!E9)-1)-D11-D12)</f>
        <v>-0.024389639208881903</v>
      </c>
      <c r="E15" s="305">
        <f t="shared" si="0"/>
        <v>0.1487613704687675</v>
      </c>
      <c r="F15" s="305">
        <f t="shared" si="0"/>
        <v>-0.14009525010033508</v>
      </c>
      <c r="G15" s="305">
        <f t="shared" si="0"/>
        <v>-0.005241172946816493</v>
      </c>
    </row>
    <row r="16" spans="1:7" ht="12.75">
      <c r="A16" s="307" t="s">
        <v>375</v>
      </c>
      <c r="B16" s="369">
        <f>IF(Projeções!C40=0,"0",((Projeções!D40/Projeções!C40)-1)-B11-B12)</f>
        <v>0.0801064516955831</v>
      </c>
      <c r="C16" s="369">
        <f>IF(Projeções!D40=0,"0",((Projeções!E40/Projeções!D40)-1)-C11-C12)</f>
        <v>-0.11358318224098214</v>
      </c>
      <c r="D16" s="369">
        <f>IF(Projeções!E40=0,"0",((Projeções!F40/Projeções!E40)-1)-D11-D12)</f>
        <v>-0.038819700833471055</v>
      </c>
      <c r="E16" s="305">
        <f t="shared" si="0"/>
        <v>-0.024098810459623365</v>
      </c>
      <c r="F16" s="305">
        <f t="shared" si="0"/>
        <v>-0.058833897844692194</v>
      </c>
      <c r="G16" s="305">
        <f t="shared" si="0"/>
        <v>-0.040584136379262205</v>
      </c>
    </row>
    <row r="17" spans="1:7" ht="12.75">
      <c r="A17" s="307" t="s">
        <v>376</v>
      </c>
      <c r="B17" s="369">
        <f>IF(Projeções!C54=0,"0",((Projeções!D54/Projeções!C54)-1)-B11-B12)</f>
        <v>-0.011564453189233463</v>
      </c>
      <c r="C17" s="369">
        <f>IF(Projeções!D54=0,"0",((Projeções!E54/Projeções!D54)-1)-C11-C12)</f>
        <v>0.17231986364602875</v>
      </c>
      <c r="D17" s="369">
        <f>IF(Projeções!E54=0,"0",((Projeções!F54/Projeções!E54)-1)-D11-D12)</f>
        <v>-0.08551264319165516</v>
      </c>
      <c r="E17" s="305">
        <f t="shared" si="0"/>
        <v>0.025080922421713375</v>
      </c>
      <c r="F17" s="305">
        <f t="shared" si="0"/>
        <v>0.03729604762536232</v>
      </c>
      <c r="G17" s="305">
        <f t="shared" si="0"/>
        <v>-0.007711891048193154</v>
      </c>
    </row>
    <row r="18" spans="1:7" ht="12.75">
      <c r="A18" s="304" t="s">
        <v>377</v>
      </c>
      <c r="B18" s="311">
        <v>0</v>
      </c>
      <c r="C18" s="311">
        <v>0</v>
      </c>
      <c r="D18" s="311">
        <v>0</v>
      </c>
      <c r="E18" s="310">
        <v>0</v>
      </c>
      <c r="F18" s="310">
        <v>0</v>
      </c>
      <c r="G18" s="310">
        <v>0</v>
      </c>
    </row>
    <row r="19" spans="1:7" ht="12.75">
      <c r="A19" s="304" t="s">
        <v>378</v>
      </c>
      <c r="B19" s="311">
        <v>0</v>
      </c>
      <c r="C19" s="311">
        <v>0</v>
      </c>
      <c r="D19" s="311">
        <v>0</v>
      </c>
      <c r="E19" s="311">
        <v>0</v>
      </c>
      <c r="F19" s="311">
        <v>0</v>
      </c>
      <c r="G19" s="311">
        <v>0</v>
      </c>
    </row>
    <row r="20" spans="1:7" ht="12.75">
      <c r="A20" s="308" t="s">
        <v>138</v>
      </c>
      <c r="B20" s="369">
        <f>IF(Projeções!C142=0,"0",((Projeções!D142/Projeções!C142)-1)-B11-B12)</f>
        <v>-0.313661939926857</v>
      </c>
      <c r="C20" s="369">
        <f>IF(Projeções!D142=0,"0",((Projeções!E142/Projeções!D142)-1)-C11-C12)</f>
        <v>-0.08858690171685286</v>
      </c>
      <c r="D20" s="369">
        <f>IF(Projeções!E142=0,"0",((Projeções!F142/Projeções!E142)-1)-D11-D12)</f>
        <v>1.4401608254949474</v>
      </c>
      <c r="E20" s="305">
        <f t="shared" si="0"/>
        <v>0.3459706612837459</v>
      </c>
      <c r="F20" s="305">
        <f t="shared" si="0"/>
        <v>0.5658481950206135</v>
      </c>
      <c r="G20" s="305">
        <f t="shared" si="0"/>
        <v>0.7839932272664356</v>
      </c>
    </row>
    <row r="21" spans="1:7" ht="12.75">
      <c r="A21" s="308" t="s">
        <v>206</v>
      </c>
      <c r="B21" s="534">
        <v>0.065</v>
      </c>
      <c r="C21" s="534">
        <v>0.049</v>
      </c>
      <c r="D21" s="310">
        <v>0.1325</v>
      </c>
      <c r="E21" s="310">
        <v>0.12</v>
      </c>
      <c r="F21" s="310">
        <v>0.11</v>
      </c>
      <c r="G21" s="310">
        <v>0.1</v>
      </c>
    </row>
    <row r="22" spans="1:7" ht="12.75">
      <c r="A22" s="308" t="s">
        <v>595</v>
      </c>
      <c r="B22" s="529">
        <v>3.65</v>
      </c>
      <c r="C22" s="529">
        <v>3.94</v>
      </c>
      <c r="D22" s="309">
        <v>5.18</v>
      </c>
      <c r="E22" s="302">
        <v>5.33</v>
      </c>
      <c r="F22" s="302">
        <v>5.36</v>
      </c>
      <c r="G22" s="302">
        <v>5.45</v>
      </c>
    </row>
    <row r="23" spans="1:7" ht="14.25">
      <c r="A23" s="46"/>
      <c r="B23" s="46"/>
      <c r="C23" s="13"/>
      <c r="D23" s="13"/>
      <c r="E23" s="13"/>
      <c r="F23" s="13"/>
      <c r="G23" s="13"/>
    </row>
    <row r="24" spans="1:7" ht="12">
      <c r="A24" s="570"/>
      <c r="B24" s="571"/>
      <c r="C24" s="571"/>
      <c r="D24" s="571"/>
      <c r="E24" s="571"/>
      <c r="F24" s="571"/>
      <c r="G24" s="571"/>
    </row>
    <row r="25" spans="1:8" ht="12">
      <c r="A25" s="571"/>
      <c r="B25" s="571"/>
      <c r="C25" s="571"/>
      <c r="D25" s="571"/>
      <c r="E25" s="571"/>
      <c r="F25" s="571"/>
      <c r="G25" s="571"/>
      <c r="H25" s="41"/>
    </row>
    <row r="26" spans="1:8" ht="12">
      <c r="A26" s="571"/>
      <c r="B26" s="571"/>
      <c r="C26" s="571"/>
      <c r="D26" s="571"/>
      <c r="E26" s="571"/>
      <c r="F26" s="571"/>
      <c r="G26" s="571"/>
      <c r="H26" s="41"/>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horizontalDpi="300" verticalDpi="300" orientation="landscape" paperSize="9" scale="70"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3">
    <pageSetUpPr fitToPage="1"/>
  </sheetPr>
  <dimension ref="A1:N31"/>
  <sheetViews>
    <sheetView zoomScaleSheetLayoutView="100" zoomScalePageLayoutView="0" workbookViewId="0" topLeftCell="A1">
      <selection activeCell="A6" sqref="A6:L6"/>
    </sheetView>
  </sheetViews>
  <sheetFormatPr defaultColWidth="9.140625" defaultRowHeight="12.75"/>
  <cols>
    <col min="1" max="1" width="25.28125" style="11" customWidth="1"/>
    <col min="2" max="2" width="14.28125" style="11" customWidth="1"/>
    <col min="3" max="3" width="13.57421875" style="11" customWidth="1"/>
    <col min="4" max="4" width="10.28125" style="11" customWidth="1"/>
    <col min="5" max="5" width="14.28125" style="11" customWidth="1"/>
    <col min="6" max="6" width="10.28125" style="11" customWidth="1"/>
    <col min="7" max="7" width="14.140625" style="11" customWidth="1"/>
    <col min="8" max="8" width="13.42187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681" t="str">
        <f>Parâmetros!A7</f>
        <v>Município de Barra do Quaraí</v>
      </c>
      <c r="B1" s="682"/>
      <c r="C1" s="682"/>
      <c r="D1" s="682"/>
      <c r="E1" s="682"/>
      <c r="F1" s="682"/>
      <c r="G1" s="682"/>
      <c r="H1" s="682"/>
      <c r="I1" s="682"/>
      <c r="J1" s="682"/>
      <c r="K1" s="682"/>
      <c r="L1" s="683"/>
    </row>
    <row r="2" spans="1:12" ht="12.75">
      <c r="A2" s="684" t="s">
        <v>36</v>
      </c>
      <c r="B2" s="682"/>
      <c r="C2" s="682"/>
      <c r="D2" s="682"/>
      <c r="E2" s="682"/>
      <c r="F2" s="682"/>
      <c r="G2" s="682"/>
      <c r="H2" s="682"/>
      <c r="I2" s="682"/>
      <c r="J2" s="682"/>
      <c r="K2" s="682"/>
      <c r="L2" s="683"/>
    </row>
    <row r="3" spans="1:12" ht="12.75">
      <c r="A3" s="684" t="s">
        <v>148</v>
      </c>
      <c r="B3" s="682"/>
      <c r="C3" s="682"/>
      <c r="D3" s="682"/>
      <c r="E3" s="682"/>
      <c r="F3" s="682"/>
      <c r="G3" s="682"/>
      <c r="H3" s="682"/>
      <c r="I3" s="682"/>
      <c r="J3" s="682"/>
      <c r="K3" s="682"/>
      <c r="L3" s="683"/>
    </row>
    <row r="4" spans="1:12" ht="12.75">
      <c r="A4" s="685" t="s">
        <v>121</v>
      </c>
      <c r="B4" s="686"/>
      <c r="C4" s="686"/>
      <c r="D4" s="686"/>
      <c r="E4" s="686"/>
      <c r="F4" s="686"/>
      <c r="G4" s="686"/>
      <c r="H4" s="686"/>
      <c r="I4" s="686"/>
      <c r="J4" s="686"/>
      <c r="K4" s="686"/>
      <c r="L4" s="687"/>
    </row>
    <row r="5" spans="1:12" ht="12.75">
      <c r="A5" s="684" t="s">
        <v>611</v>
      </c>
      <c r="B5" s="682"/>
      <c r="C5" s="682"/>
      <c r="D5" s="682"/>
      <c r="E5" s="682"/>
      <c r="F5" s="682"/>
      <c r="G5" s="682"/>
      <c r="H5" s="682"/>
      <c r="I5" s="682"/>
      <c r="J5" s="682"/>
      <c r="K5" s="682"/>
      <c r="L5" s="683"/>
    </row>
    <row r="6" spans="1:12" ht="12.75">
      <c r="A6" s="684"/>
      <c r="B6" s="682"/>
      <c r="C6" s="682"/>
      <c r="D6" s="682"/>
      <c r="E6" s="682"/>
      <c r="F6" s="682"/>
      <c r="G6" s="682"/>
      <c r="H6" s="682"/>
      <c r="I6" s="682"/>
      <c r="J6" s="682"/>
      <c r="K6" s="682"/>
      <c r="L6" s="683"/>
    </row>
    <row r="7" spans="1:12" ht="12.75">
      <c r="A7" s="695" t="s">
        <v>460</v>
      </c>
      <c r="B7" s="696"/>
      <c r="C7" s="55"/>
      <c r="D7" s="55"/>
      <c r="E7" s="55"/>
      <c r="F7" s="55"/>
      <c r="G7" s="55"/>
      <c r="H7" s="55"/>
      <c r="I7" s="55"/>
      <c r="J7" s="55"/>
      <c r="K7" s="55"/>
      <c r="L7" s="56">
        <v>1</v>
      </c>
    </row>
    <row r="8" spans="1:12" ht="15.75" customHeight="1">
      <c r="A8" s="52" t="s">
        <v>56</v>
      </c>
      <c r="B8" s="689" t="s">
        <v>75</v>
      </c>
      <c r="C8" s="690"/>
      <c r="D8" s="690"/>
      <c r="E8" s="690"/>
      <c r="F8" s="690"/>
      <c r="G8" s="690"/>
      <c r="H8" s="690"/>
      <c r="I8" s="690"/>
      <c r="J8" s="690"/>
      <c r="K8" s="690"/>
      <c r="L8" s="690"/>
    </row>
    <row r="9" spans="1:12" s="12" customFormat="1" ht="15.75" customHeight="1">
      <c r="A9" s="693"/>
      <c r="B9" s="691">
        <f>Parâmetros!B10</f>
        <v>2020</v>
      </c>
      <c r="C9" s="691">
        <f>B9+1</f>
        <v>2021</v>
      </c>
      <c r="D9" s="691" t="s">
        <v>115</v>
      </c>
      <c r="E9" s="691">
        <f>C9+1</f>
        <v>2022</v>
      </c>
      <c r="F9" s="691" t="s">
        <v>115</v>
      </c>
      <c r="G9" s="673">
        <f>E9+1</f>
        <v>2023</v>
      </c>
      <c r="H9" s="673" t="s">
        <v>115</v>
      </c>
      <c r="I9" s="673">
        <f>G9+1</f>
        <v>2024</v>
      </c>
      <c r="J9" s="673" t="s">
        <v>116</v>
      </c>
      <c r="K9" s="673">
        <f>I9+1</f>
        <v>2025</v>
      </c>
      <c r="L9" s="675" t="s">
        <v>115</v>
      </c>
    </row>
    <row r="10" spans="1:12" s="12" customFormat="1" ht="15.75" customHeight="1">
      <c r="A10" s="694"/>
      <c r="B10" s="692"/>
      <c r="C10" s="692"/>
      <c r="D10" s="692"/>
      <c r="E10" s="692"/>
      <c r="F10" s="692"/>
      <c r="G10" s="688"/>
      <c r="H10" s="688"/>
      <c r="I10" s="688"/>
      <c r="J10" s="688"/>
      <c r="K10" s="688"/>
      <c r="L10" s="677"/>
    </row>
    <row r="11" spans="1:12" ht="12.75">
      <c r="A11" s="291" t="s">
        <v>76</v>
      </c>
      <c r="B11" s="109">
        <v>24023226.13</v>
      </c>
      <c r="C11" s="317">
        <f>' Avaliação'!B11</f>
        <v>23112012.12</v>
      </c>
      <c r="D11" s="322">
        <f aca="true" t="shared" si="0" ref="D11:D18">IF(B11=0,"0",(C11/B11)-1)</f>
        <v>-0.03793054292829057</v>
      </c>
      <c r="E11" s="109">
        <v>30970861.07</v>
      </c>
      <c r="F11" s="322">
        <f aca="true" t="shared" si="1" ref="F11:F18">IF(C11=0,"0",(E11/C11)-1)</f>
        <v>0.3400330922810193</v>
      </c>
      <c r="G11" s="323">
        <f>'Metas Cons'!B12</f>
        <v>33917606.1789101</v>
      </c>
      <c r="H11" s="324">
        <f>IF(E11=0,"0",(G11/E11)-1)</f>
        <v>0.09514572753563089</v>
      </c>
      <c r="I11" s="323">
        <f>'Metas Cons'!F12</f>
        <v>31514000.24028987</v>
      </c>
      <c r="J11" s="322">
        <f>IF(G11=0,"-",(I11/G11)-1)</f>
        <v>-0.07086602533037212</v>
      </c>
      <c r="K11" s="323">
        <f>'Metas Cons'!J12</f>
        <v>32277276.696465835</v>
      </c>
      <c r="L11" s="322">
        <f>IF(I11=0,"-",(K11/I11)-1)</f>
        <v>0.024220233875613673</v>
      </c>
    </row>
    <row r="12" spans="1:12" ht="12.75">
      <c r="A12" s="291" t="s">
        <v>122</v>
      </c>
      <c r="B12" s="109">
        <v>22265624.13</v>
      </c>
      <c r="C12" s="317">
        <f>' Avaliação'!B12</f>
        <v>23095887.55</v>
      </c>
      <c r="D12" s="322">
        <f t="shared" si="0"/>
        <v>0.03728902523245825</v>
      </c>
      <c r="E12" s="109">
        <v>29948464.5</v>
      </c>
      <c r="F12" s="322">
        <f t="shared" si="1"/>
        <v>0.29670117397155393</v>
      </c>
      <c r="G12" s="323">
        <f>'Metas Cons'!B13</f>
        <v>30773121.100508053</v>
      </c>
      <c r="H12" s="324">
        <f aca="true" t="shared" si="2" ref="H12:H18">IF(E12=0,"0",(G12/E12)-1)</f>
        <v>0.027535855820189248</v>
      </c>
      <c r="I12" s="323">
        <f>'Metas Cons'!F13</f>
        <v>31358498.17465967</v>
      </c>
      <c r="J12" s="322">
        <f aca="true" t="shared" si="3" ref="J12:J18">IF(G12=0,"-",(I12/G12)-1)</f>
        <v>0.0190223498045492</v>
      </c>
      <c r="K12" s="323">
        <f>'Metas Cons'!J13</f>
        <v>32109917.59833133</v>
      </c>
      <c r="L12" s="322">
        <f aca="true" t="shared" si="4" ref="L12:L18">IF(I12=0,"-",(K12/I12)-1)</f>
        <v>0.023962226108100726</v>
      </c>
    </row>
    <row r="13" spans="1:12" ht="12.75">
      <c r="A13" s="291" t="s">
        <v>77</v>
      </c>
      <c r="B13" s="109">
        <v>24023226.13</v>
      </c>
      <c r="C13" s="317">
        <f>' Avaliação'!B13</f>
        <v>23112012.12</v>
      </c>
      <c r="D13" s="322">
        <f t="shared" si="0"/>
        <v>-0.03793054292829057</v>
      </c>
      <c r="E13" s="109">
        <v>30970861.07</v>
      </c>
      <c r="F13" s="322">
        <f t="shared" si="1"/>
        <v>0.3400330922810193</v>
      </c>
      <c r="G13" s="323">
        <f>'Metas Cons'!B20</f>
        <v>33917606.17891009</v>
      </c>
      <c r="H13" s="324">
        <f t="shared" si="2"/>
        <v>0.09514572753563066</v>
      </c>
      <c r="I13" s="323">
        <f>'Metas Cons'!F20</f>
        <v>31514000.24028987</v>
      </c>
      <c r="J13" s="322">
        <f t="shared" si="3"/>
        <v>-0.0708660253303719</v>
      </c>
      <c r="K13" s="323">
        <f>'Metas Cons'!J20</f>
        <v>32277276.696465842</v>
      </c>
      <c r="L13" s="322">
        <f t="shared" si="4"/>
        <v>0.024220233875613895</v>
      </c>
    </row>
    <row r="14" spans="1:12" ht="12.75">
      <c r="A14" s="291" t="s">
        <v>117</v>
      </c>
      <c r="B14" s="109">
        <v>22413542.47</v>
      </c>
      <c r="C14" s="317">
        <f>' Avaliação'!B14</f>
        <v>20377261.58</v>
      </c>
      <c r="D14" s="322">
        <f t="shared" si="0"/>
        <v>-0.09085047099205823</v>
      </c>
      <c r="E14" s="109">
        <v>28059554.6</v>
      </c>
      <c r="F14" s="322">
        <f t="shared" si="1"/>
        <v>0.37700320967269074</v>
      </c>
      <c r="G14" s="323">
        <f>'Metas Cons'!B21</f>
        <v>32571524.831173602</v>
      </c>
      <c r="H14" s="324">
        <f t="shared" si="2"/>
        <v>0.16079978087655045</v>
      </c>
      <c r="I14" s="323">
        <f>'Metas Cons'!F21</f>
        <v>30100614.82516655</v>
      </c>
      <c r="J14" s="322">
        <f t="shared" si="3"/>
        <v>-0.07586104791883097</v>
      </c>
      <c r="K14" s="323">
        <f>'Metas Cons'!J21</f>
        <v>30793222.01058636</v>
      </c>
      <c r="L14" s="322">
        <f t="shared" si="4"/>
        <v>0.023009735496855477</v>
      </c>
    </row>
    <row r="15" spans="1:12" ht="12.75">
      <c r="A15" s="291" t="s">
        <v>78</v>
      </c>
      <c r="B15" s="317">
        <f>B12-B14</f>
        <v>-147918.33999999985</v>
      </c>
      <c r="C15" s="317">
        <f>' Avaliação'!B15</f>
        <v>2718625.9700000025</v>
      </c>
      <c r="D15" s="322">
        <f t="shared" si="0"/>
        <v>-19.379235259130173</v>
      </c>
      <c r="E15" s="317">
        <f>E12-E14</f>
        <v>1888909.8999999985</v>
      </c>
      <c r="F15" s="322">
        <f t="shared" si="1"/>
        <v>-0.3051968454491013</v>
      </c>
      <c r="G15" s="323">
        <f>'Metas Cons'!B28</f>
        <v>-1798403.7306655496</v>
      </c>
      <c r="H15" s="324">
        <f t="shared" si="2"/>
        <v>-1.952085502154206</v>
      </c>
      <c r="I15" s="323">
        <f>'Metas Cons'!F28</f>
        <v>1257883.3494931199</v>
      </c>
      <c r="J15" s="322">
        <f t="shared" si="3"/>
        <v>-1.6994443617104849</v>
      </c>
      <c r="K15" s="323">
        <f>'Metas Cons'!J28</f>
        <v>1316695.5877449699</v>
      </c>
      <c r="L15" s="322">
        <f t="shared" si="4"/>
        <v>0.0467549222871495</v>
      </c>
    </row>
    <row r="16" spans="1:12" ht="12.75">
      <c r="A16" s="291" t="s">
        <v>79</v>
      </c>
      <c r="B16" s="110">
        <v>696374</v>
      </c>
      <c r="C16" s="317">
        <f>' Avaliação'!B16</f>
        <v>1005130.55</v>
      </c>
      <c r="D16" s="322">
        <f t="shared" si="0"/>
        <v>0.4433774810662088</v>
      </c>
      <c r="E16" s="370">
        <v>221763.93</v>
      </c>
      <c r="F16" s="322">
        <f t="shared" si="1"/>
        <v>-0.7793680333365651</v>
      </c>
      <c r="G16" s="323">
        <f>'Metas Cons'!B31</f>
        <v>-1798403.7306655496</v>
      </c>
      <c r="H16" s="324">
        <f t="shared" si="2"/>
        <v>-9.109541216488857</v>
      </c>
      <c r="I16" s="323">
        <f>'Metas Cons'!F31</f>
        <v>1257883.3494931199</v>
      </c>
      <c r="J16" s="322">
        <f t="shared" si="3"/>
        <v>-1.6994443617104849</v>
      </c>
      <c r="K16" s="323">
        <f>'Metas Cons'!J31</f>
        <v>1316695.5877449699</v>
      </c>
      <c r="L16" s="322">
        <f t="shared" si="4"/>
        <v>0.0467549222871495</v>
      </c>
    </row>
    <row r="17" spans="1:12" ht="12.75">
      <c r="A17" s="291" t="s">
        <v>80</v>
      </c>
      <c r="B17" s="370">
        <v>-2411011.64</v>
      </c>
      <c r="C17" s="317">
        <f>' Avaliação'!B17</f>
        <v>2907857.46</v>
      </c>
      <c r="D17" s="322">
        <f t="shared" si="0"/>
        <v>-2.2060735882635556</v>
      </c>
      <c r="E17" s="370">
        <f>Dívida!D7</f>
        <v>2418932.23</v>
      </c>
      <c r="F17" s="322">
        <f t="shared" si="1"/>
        <v>-0.1681393385767953</v>
      </c>
      <c r="G17" s="323">
        <f>'Metas Cons'!B32</f>
        <v>2557545.8333333335</v>
      </c>
      <c r="H17" s="324">
        <f t="shared" si="2"/>
        <v>0.057303632410294236</v>
      </c>
      <c r="I17" s="323">
        <f>'Metas Cons'!F32</f>
        <v>2440775.291111111</v>
      </c>
      <c r="J17" s="322">
        <f t="shared" si="3"/>
        <v>-0.045657262794790876</v>
      </c>
      <c r="K17" s="323">
        <f>'Metas Cons'!J32</f>
        <v>2472417.7848148146</v>
      </c>
      <c r="L17" s="322">
        <f t="shared" si="4"/>
        <v>0.012964115877008409</v>
      </c>
    </row>
    <row r="18" spans="1:14" ht="12.75">
      <c r="A18" s="292" t="s">
        <v>74</v>
      </c>
      <c r="B18" s="371">
        <v>314316.62</v>
      </c>
      <c r="C18" s="317">
        <f>' Avaliação'!B18</f>
        <v>308440.79</v>
      </c>
      <c r="D18" s="322">
        <f t="shared" si="0"/>
        <v>-0.018693984428822197</v>
      </c>
      <c r="E18" s="371">
        <f>Dívida!D15</f>
        <v>-108632.28000000026</v>
      </c>
      <c r="F18" s="322">
        <f t="shared" si="1"/>
        <v>-1.3521981641922272</v>
      </c>
      <c r="G18" s="323">
        <f>'Metas Cons'!B33</f>
        <v>-735109.1000000001</v>
      </c>
      <c r="H18" s="324">
        <f t="shared" si="2"/>
        <v>5.766949013681738</v>
      </c>
      <c r="I18" s="323">
        <f>'Metas Cons'!F33</f>
        <v>-1084917.6733333333</v>
      </c>
      <c r="J18" s="322">
        <f t="shared" si="3"/>
        <v>0.47585939737833916</v>
      </c>
      <c r="K18" s="323">
        <f>'Metas Cons'!J33</f>
        <v>-642886.3511111112</v>
      </c>
      <c r="L18" s="322">
        <f t="shared" si="4"/>
        <v>-0.40743305514059136</v>
      </c>
      <c r="N18" s="427"/>
    </row>
    <row r="19" spans="1:12" ht="12.75">
      <c r="A19" s="690"/>
      <c r="B19" s="690"/>
      <c r="C19" s="690"/>
      <c r="D19" s="690"/>
      <c r="E19" s="690"/>
      <c r="F19" s="690"/>
      <c r="G19" s="690"/>
      <c r="H19" s="690"/>
      <c r="I19" s="690"/>
      <c r="J19" s="690"/>
      <c r="K19" s="690"/>
      <c r="L19" s="690"/>
    </row>
    <row r="20" spans="1:12" ht="15.75" customHeight="1">
      <c r="A20" s="284" t="s">
        <v>56</v>
      </c>
      <c r="B20" s="689" t="s">
        <v>81</v>
      </c>
      <c r="C20" s="690"/>
      <c r="D20" s="690"/>
      <c r="E20" s="690"/>
      <c r="F20" s="690"/>
      <c r="G20" s="690"/>
      <c r="H20" s="690"/>
      <c r="I20" s="690"/>
      <c r="J20" s="690"/>
      <c r="K20" s="690"/>
      <c r="L20" s="690"/>
    </row>
    <row r="21" spans="1:12" s="12" customFormat="1" ht="15.75" customHeight="1">
      <c r="A21" s="693"/>
      <c r="B21" s="691">
        <f>Parâmetros!B10</f>
        <v>2020</v>
      </c>
      <c r="C21" s="691">
        <f>B21+1</f>
        <v>2021</v>
      </c>
      <c r="D21" s="691" t="s">
        <v>115</v>
      </c>
      <c r="E21" s="691">
        <f>C21+1</f>
        <v>2022</v>
      </c>
      <c r="F21" s="673" t="s">
        <v>115</v>
      </c>
      <c r="G21" s="673">
        <f>E21+1</f>
        <v>2023</v>
      </c>
      <c r="H21" s="673" t="s">
        <v>115</v>
      </c>
      <c r="I21" s="673">
        <f>G21+1</f>
        <v>2024</v>
      </c>
      <c r="J21" s="673" t="s">
        <v>115</v>
      </c>
      <c r="K21" s="673">
        <f>I21+1</f>
        <v>2025</v>
      </c>
      <c r="L21" s="675" t="s">
        <v>115</v>
      </c>
    </row>
    <row r="22" spans="1:12" s="12" customFormat="1" ht="15.75" customHeight="1">
      <c r="A22" s="694"/>
      <c r="B22" s="692"/>
      <c r="C22" s="692"/>
      <c r="D22" s="692"/>
      <c r="E22" s="692"/>
      <c r="F22" s="688"/>
      <c r="G22" s="688"/>
      <c r="H22" s="688"/>
      <c r="I22" s="688"/>
      <c r="J22" s="688"/>
      <c r="K22" s="688"/>
      <c r="L22" s="677"/>
    </row>
    <row r="23" spans="1:12" ht="12.75">
      <c r="A23" s="291" t="s">
        <v>76</v>
      </c>
      <c r="B23" s="323">
        <f>B11*((1+Parâmetros!C11)*(1+Parâmetros!D11))</f>
        <v>28782543.37200887</v>
      </c>
      <c r="C23" s="317">
        <f>C11*(1+Parâmetros!D11)</f>
        <v>25159736.393832</v>
      </c>
      <c r="D23" s="322">
        <f>IF(B23=0,"-",(C23/B23)-1)</f>
        <v>-0.12586820182472347</v>
      </c>
      <c r="E23" s="317">
        <f>E11</f>
        <v>30970861.07</v>
      </c>
      <c r="F23" s="322">
        <f>IF(C23=0,"-",(E23/C23)-1)</f>
        <v>0.2309692194387465</v>
      </c>
      <c r="G23" s="323">
        <f>'Metas Cons'!C12</f>
        <v>32302482.075152475</v>
      </c>
      <c r="H23" s="322">
        <f>IF(E23=0,"-",(G23/E23)-1)</f>
        <v>0.04299593098631527</v>
      </c>
      <c r="I23" s="323">
        <f>'Metas Cons'!G12</f>
        <v>28584127.20207698</v>
      </c>
      <c r="J23" s="322">
        <f>IF(G23=0,"-",(I23/G23)-1)</f>
        <v>-0.1151105003146401</v>
      </c>
      <c r="K23" s="323">
        <f>'Metas Cons'!K12</f>
        <v>27882325.18861102</v>
      </c>
      <c r="L23" s="322">
        <f>IF(I23=0,"-",(K23/I23)-1)</f>
        <v>-0.02455215821370138</v>
      </c>
    </row>
    <row r="24" spans="1:12" ht="12.75">
      <c r="A24" s="291" t="s">
        <v>122</v>
      </c>
      <c r="B24" s="323">
        <f>B12*((1+Parâmetros!C11)*(1+Parâmetros!D11))</f>
        <v>26676737.285766553</v>
      </c>
      <c r="C24" s="317">
        <f>C12*(1+Parâmetros!D11)</f>
        <v>25142183.18693</v>
      </c>
      <c r="D24" s="322">
        <f aca="true" t="shared" si="5" ref="D24:D30">IF(B24=0,"-",(C24/B24)-1)</f>
        <v>-0.057524054849665496</v>
      </c>
      <c r="E24" s="317">
        <f>E12</f>
        <v>29948464.5</v>
      </c>
      <c r="F24" s="322">
        <f>IF(C24=0,"-",(E24/C24)-1)</f>
        <v>0.1911640400253114</v>
      </c>
      <c r="G24" s="325">
        <f>'Metas Cons'!C13</f>
        <v>29307734.38143624</v>
      </c>
      <c r="H24" s="322">
        <f aca="true" t="shared" si="6" ref="H24:H30">IF(E24=0,"-",(G24/E24)-1)</f>
        <v>-0.02139442302839134</v>
      </c>
      <c r="I24" s="325">
        <f>'Metas Cons'!G13</f>
        <v>28443082.24458927</v>
      </c>
      <c r="J24" s="322">
        <f aca="true" t="shared" si="7" ref="J24:J30">IF(G24=0,"-",(I24/G24)-1)</f>
        <v>-0.02950252399566744</v>
      </c>
      <c r="K24" s="325">
        <f>'Metas Cons'!K13</f>
        <v>27737754.107186113</v>
      </c>
      <c r="L24" s="322">
        <f aca="true" t="shared" si="8" ref="L24:L30">IF(I24=0,"-",(K24/I24)-1)</f>
        <v>-0.02479787989704707</v>
      </c>
    </row>
    <row r="25" spans="1:12" ht="12.75">
      <c r="A25" s="291" t="s">
        <v>77</v>
      </c>
      <c r="B25" s="323">
        <f>B13*((1+Parâmetros!C11)*(1+Parâmetros!D11))</f>
        <v>28782543.37200887</v>
      </c>
      <c r="C25" s="317">
        <f>C13*(1+Parâmetros!D11)</f>
        <v>25159736.393832</v>
      </c>
      <c r="D25" s="322">
        <f t="shared" si="5"/>
        <v>-0.12586820182472347</v>
      </c>
      <c r="E25" s="317">
        <f>E13</f>
        <v>30970861.07</v>
      </c>
      <c r="F25" s="322">
        <f aca="true" t="shared" si="9" ref="F25:F30">IF(C25=0,"-",(E25/C25)-1)</f>
        <v>0.2309692194387465</v>
      </c>
      <c r="G25" s="325">
        <f>'Metas Cons'!C20</f>
        <v>32302482.075152468</v>
      </c>
      <c r="H25" s="322">
        <f t="shared" si="6"/>
        <v>0.04299593098631482</v>
      </c>
      <c r="I25" s="325">
        <f>'Metas Cons'!G20</f>
        <v>28584127.20207698</v>
      </c>
      <c r="J25" s="322">
        <f t="shared" si="7"/>
        <v>-0.11511050031463999</v>
      </c>
      <c r="K25" s="325">
        <f>'Metas Cons'!K20</f>
        <v>27882325.188611027</v>
      </c>
      <c r="L25" s="322">
        <f t="shared" si="8"/>
        <v>-0.02455215821370116</v>
      </c>
    </row>
    <row r="26" spans="1:12" ht="12.75">
      <c r="A26" s="291" t="s">
        <v>117</v>
      </c>
      <c r="B26" s="323">
        <f>B14*((1+Parâmetros!C11)*(1+Parâmetros!D11))</f>
        <v>26853960.195525907</v>
      </c>
      <c r="C26" s="317">
        <f>C14*(1+Parâmetros!D11)</f>
        <v>22182686.955987997</v>
      </c>
      <c r="D26" s="322">
        <f t="shared" si="5"/>
        <v>-0.17395100035622246</v>
      </c>
      <c r="E26" s="317">
        <f>E14</f>
        <v>28059554.6</v>
      </c>
      <c r="F26" s="322">
        <f t="shared" si="9"/>
        <v>0.26493037816708687</v>
      </c>
      <c r="G26" s="325">
        <f>'Metas Cons'!C21</f>
        <v>31020499.839212954</v>
      </c>
      <c r="H26" s="322">
        <f t="shared" si="6"/>
        <v>0.10552360083480994</v>
      </c>
      <c r="I26" s="325">
        <f>'Metas Cons'!G21</f>
        <v>27302144.966137458</v>
      </c>
      <c r="J26" s="322">
        <f t="shared" si="7"/>
        <v>-0.11986766468460097</v>
      </c>
      <c r="K26" s="325">
        <f>'Metas Cons'!K21</f>
        <v>26600342.95267151</v>
      </c>
      <c r="L26" s="322">
        <f t="shared" si="8"/>
        <v>-0.02570501381251855</v>
      </c>
    </row>
    <row r="27" spans="1:12" ht="12.75">
      <c r="A27" s="291" t="s">
        <v>78</v>
      </c>
      <c r="B27" s="323">
        <f>B24-B26</f>
        <v>-177222.90975935385</v>
      </c>
      <c r="C27" s="325">
        <f>C24-C26</f>
        <v>2959496.2309420034</v>
      </c>
      <c r="D27" s="322">
        <f t="shared" si="5"/>
        <v>-17.699286988124857</v>
      </c>
      <c r="E27" s="325">
        <f>E24-E26</f>
        <v>1888909.8999999985</v>
      </c>
      <c r="F27" s="322">
        <f t="shared" si="9"/>
        <v>-0.361746137653042</v>
      </c>
      <c r="G27" s="325">
        <f>'Metas Cons'!C28</f>
        <v>-1712765.4577767139</v>
      </c>
      <c r="H27" s="322">
        <f t="shared" si="6"/>
        <v>-1.90674809728972</v>
      </c>
      <c r="I27" s="325">
        <f>'Metas Cons'!G28</f>
        <v>1140937.2784518094</v>
      </c>
      <c r="J27" s="322">
        <f t="shared" si="7"/>
        <v>-1.6661374873433188</v>
      </c>
      <c r="K27" s="325">
        <f>'Metas Cons'!K28</f>
        <v>1137411.1545146052</v>
      </c>
      <c r="L27" s="322">
        <f t="shared" si="8"/>
        <v>-0.00309055020271487</v>
      </c>
    </row>
    <row r="28" spans="1:12" ht="12.75">
      <c r="A28" s="291" t="s">
        <v>79</v>
      </c>
      <c r="B28" s="323">
        <f>B16*((1+Parâmetros!C11)*(1+Parâmetros!D11))</f>
        <v>834334.8536818401</v>
      </c>
      <c r="C28" s="317">
        <f>C16*(1+Parâmetros!D11)</f>
        <v>1094185.1167300001</v>
      </c>
      <c r="D28" s="322">
        <f t="shared" si="5"/>
        <v>0.31144601223533397</v>
      </c>
      <c r="E28" s="317">
        <f>E16</f>
        <v>221763.93</v>
      </c>
      <c r="F28" s="322">
        <f t="shared" si="9"/>
        <v>-0.7973250352163928</v>
      </c>
      <c r="G28" s="325">
        <f>'Metas Cons'!C31</f>
        <v>-1712765.4577767139</v>
      </c>
      <c r="H28" s="322">
        <f t="shared" si="6"/>
        <v>-8.723372587132245</v>
      </c>
      <c r="I28" s="325">
        <f>'Metas Cons'!G31</f>
        <v>1140937.2784518094</v>
      </c>
      <c r="J28" s="322">
        <f t="shared" si="7"/>
        <v>-1.6661374873433188</v>
      </c>
      <c r="K28" s="325">
        <f>'Metas Cons'!K31</f>
        <v>1137411.1545146052</v>
      </c>
      <c r="L28" s="322">
        <f t="shared" si="8"/>
        <v>-0.00309055020271487</v>
      </c>
    </row>
    <row r="29" spans="1:12" ht="12.75">
      <c r="A29" s="291" t="s">
        <v>80</v>
      </c>
      <c r="B29" s="323">
        <f>B17*((1+Parâmetros!C11)*(1+Parâmetros!D11))</f>
        <v>-2888664.774797183</v>
      </c>
      <c r="C29" s="317">
        <f>C17*(1+Parâmetros!D11)</f>
        <v>3165493.630956</v>
      </c>
      <c r="D29" s="322">
        <f t="shared" si="5"/>
        <v>-2.0958328077989785</v>
      </c>
      <c r="E29" s="317">
        <f>E17</f>
        <v>2418932.23</v>
      </c>
      <c r="F29" s="322">
        <f t="shared" si="9"/>
        <v>-0.23584359597353977</v>
      </c>
      <c r="G29" s="325">
        <f>'Metas Cons'!C32</f>
        <v>2435757.9365079366</v>
      </c>
      <c r="H29" s="322">
        <f t="shared" si="6"/>
        <v>0.006955840390756363</v>
      </c>
      <c r="I29" s="325">
        <f>'Metas Cons'!G32</f>
        <v>2213855.139329806</v>
      </c>
      <c r="J29" s="322">
        <f t="shared" si="7"/>
        <v>-0.09110215504265795</v>
      </c>
      <c r="K29" s="325">
        <f>'Metas Cons'!K32</f>
        <v>2135767.441800941</v>
      </c>
      <c r="L29" s="322">
        <f t="shared" si="8"/>
        <v>-0.035272270593325494</v>
      </c>
    </row>
    <row r="30" spans="1:12" ht="12.75">
      <c r="A30" s="292" t="s">
        <v>74</v>
      </c>
      <c r="B30" s="323">
        <f>B18*((1+Parâmetros!C11)*(1+Parâmetros!D11))</f>
        <v>376586.87882871926</v>
      </c>
      <c r="C30" s="317">
        <f>C18*(1+Parâmetros!D11)</f>
        <v>335768.643994</v>
      </c>
      <c r="D30" s="322">
        <f t="shared" si="5"/>
        <v>-0.10838995495986037</v>
      </c>
      <c r="E30" s="317">
        <f>E18</f>
        <v>-108632.28000000026</v>
      </c>
      <c r="F30" s="322">
        <f t="shared" si="9"/>
        <v>-1.3235331289658525</v>
      </c>
      <c r="G30" s="326">
        <f>'Metas Cons'!C33</f>
        <v>-700103.9047619049</v>
      </c>
      <c r="H30" s="322">
        <f t="shared" si="6"/>
        <v>5.444713346363559</v>
      </c>
      <c r="I30" s="323">
        <f>'Metas Cons'!G33</f>
        <v>-984052.3114134542</v>
      </c>
      <c r="J30" s="322">
        <f t="shared" si="7"/>
        <v>0.40558037845556094</v>
      </c>
      <c r="K30" s="323">
        <f>'Metas Cons'!K33</f>
        <v>-555349.4016724856</v>
      </c>
      <c r="L30" s="322">
        <f t="shared" si="8"/>
        <v>-0.43565052870532517</v>
      </c>
    </row>
    <row r="31" spans="1:12" ht="12.75">
      <c r="A31" s="667" t="s">
        <v>203</v>
      </c>
      <c r="B31" s="667"/>
      <c r="C31" s="667"/>
      <c r="D31" s="667"/>
      <c r="E31" s="667"/>
      <c r="F31" s="667"/>
      <c r="G31" s="667"/>
      <c r="H31" s="667"/>
      <c r="I31" s="667"/>
      <c r="J31" s="667"/>
      <c r="K31" s="667"/>
      <c r="L31" s="667"/>
    </row>
  </sheetData>
  <sheetProtection/>
  <mergeCells count="35">
    <mergeCell ref="A5:L5"/>
    <mergeCell ref="J9:J10"/>
    <mergeCell ref="K9:K10"/>
    <mergeCell ref="L9:L10"/>
    <mergeCell ref="A6:L6"/>
    <mergeCell ref="A9:A10"/>
    <mergeCell ref="B9:B10"/>
    <mergeCell ref="C9:C10"/>
    <mergeCell ref="A31:L31"/>
    <mergeCell ref="F21:F22"/>
    <mergeCell ref="I21:I22"/>
    <mergeCell ref="J21:J22"/>
    <mergeCell ref="K21:K22"/>
    <mergeCell ref="A7:B7"/>
    <mergeCell ref="E9:E10"/>
    <mergeCell ref="C21:C22"/>
    <mergeCell ref="D21:D22"/>
    <mergeCell ref="A19:L19"/>
    <mergeCell ref="A1:L1"/>
    <mergeCell ref="A2:L2"/>
    <mergeCell ref="A3:L3"/>
    <mergeCell ref="A4:L4"/>
    <mergeCell ref="B8:L8"/>
    <mergeCell ref="L21:L22"/>
    <mergeCell ref="G21:G22"/>
    <mergeCell ref="H21:H22"/>
    <mergeCell ref="A21:A22"/>
    <mergeCell ref="B21:B22"/>
    <mergeCell ref="B20:L20"/>
    <mergeCell ref="E21:E22"/>
    <mergeCell ref="F9:F10"/>
    <mergeCell ref="G9:G10"/>
    <mergeCell ref="H9:H10"/>
    <mergeCell ref="D9:D10"/>
    <mergeCell ref="I9:I10"/>
  </mergeCells>
  <printOptions/>
  <pageMargins left="0.787401575" right="0.787401575" top="0.984251969" bottom="0.984251969" header="0.492125985" footer="0.492125985"/>
  <pageSetup fitToHeight="0" fitToWidth="1" horizontalDpi="300" verticalDpi="300" orientation="landscape" paperSize="9" scale="78" r:id="rId2"/>
  <drawing r:id="rId1"/>
</worksheet>
</file>

<file path=xl/worksheets/sheet11.xml><?xml version="1.0" encoding="utf-8"?>
<worksheet xmlns="http://schemas.openxmlformats.org/spreadsheetml/2006/main" xmlns:r="http://schemas.openxmlformats.org/officeDocument/2006/relationships">
  <sheetPr codeName="Plan14">
    <pageSetUpPr fitToPage="1"/>
  </sheetPr>
  <dimension ref="A1:H41"/>
  <sheetViews>
    <sheetView zoomScaleSheetLayoutView="90" zoomScalePageLayoutView="0" workbookViewId="0" topLeftCell="A1">
      <selection activeCell="D7" sqref="D7"/>
    </sheetView>
  </sheetViews>
  <sheetFormatPr defaultColWidth="9.140625" defaultRowHeight="12.75"/>
  <cols>
    <col min="1" max="1" width="22.00390625" style="11" customWidth="1"/>
    <col min="2" max="2" width="17.57421875" style="11" customWidth="1"/>
    <col min="3" max="3" width="10.140625" style="11" customWidth="1"/>
    <col min="4" max="4" width="17.7109375" style="11" customWidth="1"/>
    <col min="5" max="5" width="10.421875" style="11" customWidth="1"/>
    <col min="6" max="6" width="18.00390625" style="11" customWidth="1"/>
    <col min="7" max="7" width="10.7109375" style="11" customWidth="1"/>
    <col min="8" max="16384" width="9.140625" style="11" customWidth="1"/>
  </cols>
  <sheetData>
    <row r="1" spans="1:7" ht="15.75">
      <c r="A1" s="707" t="str">
        <f>Parâmetros!A7</f>
        <v>Município de Barra do Quaraí</v>
      </c>
      <c r="B1" s="703"/>
      <c r="C1" s="703"/>
      <c r="D1" s="703"/>
      <c r="E1" s="703"/>
      <c r="F1" s="703"/>
      <c r="G1" s="704"/>
    </row>
    <row r="2" spans="1:7" ht="15.75">
      <c r="A2" s="702" t="s">
        <v>36</v>
      </c>
      <c r="B2" s="703"/>
      <c r="C2" s="703"/>
      <c r="D2" s="703"/>
      <c r="E2" s="703"/>
      <c r="F2" s="703"/>
      <c r="G2" s="704"/>
    </row>
    <row r="3" spans="1:7" ht="15.75">
      <c r="A3" s="702" t="s">
        <v>148</v>
      </c>
      <c r="B3" s="703"/>
      <c r="C3" s="703"/>
      <c r="D3" s="703"/>
      <c r="E3" s="703"/>
      <c r="F3" s="703"/>
      <c r="G3" s="704"/>
    </row>
    <row r="4" spans="1:7" ht="15.75">
      <c r="A4" s="697" t="s">
        <v>452</v>
      </c>
      <c r="B4" s="698"/>
      <c r="C4" s="698"/>
      <c r="D4" s="698"/>
      <c r="E4" s="698"/>
      <c r="F4" s="698"/>
      <c r="G4" s="699"/>
    </row>
    <row r="5" spans="1:7" ht="15.75">
      <c r="A5" s="702" t="s">
        <v>612</v>
      </c>
      <c r="B5" s="703"/>
      <c r="C5" s="703"/>
      <c r="D5" s="703"/>
      <c r="E5" s="703"/>
      <c r="F5" s="703"/>
      <c r="G5" s="704"/>
    </row>
    <row r="6" spans="1:7" ht="15.75">
      <c r="A6" s="702"/>
      <c r="B6" s="703"/>
      <c r="C6" s="703"/>
      <c r="D6" s="703"/>
      <c r="E6" s="703"/>
      <c r="F6" s="703"/>
      <c r="G6" s="704"/>
    </row>
    <row r="7" spans="1:7" ht="15.75">
      <c r="A7" s="709" t="s">
        <v>459</v>
      </c>
      <c r="B7" s="710"/>
      <c r="C7" s="293"/>
      <c r="D7" s="293"/>
      <c r="E7" s="293"/>
      <c r="F7" s="293"/>
      <c r="G7" s="296">
        <v>1</v>
      </c>
    </row>
    <row r="8" spans="1:7" s="12" customFormat="1" ht="25.5" customHeight="1">
      <c r="A8" s="297" t="s">
        <v>82</v>
      </c>
      <c r="B8" s="297">
        <f>Parâmetros!C10</f>
        <v>2021</v>
      </c>
      <c r="C8" s="297" t="s">
        <v>13</v>
      </c>
      <c r="D8" s="297">
        <f>B8-1</f>
        <v>2020</v>
      </c>
      <c r="E8" s="297" t="s">
        <v>13</v>
      </c>
      <c r="F8" s="297">
        <f>D8-1</f>
        <v>2019</v>
      </c>
      <c r="G8" s="298" t="s">
        <v>13</v>
      </c>
    </row>
    <row r="9" spans="1:7" ht="15.75">
      <c r="A9" s="299" t="s">
        <v>83</v>
      </c>
      <c r="B9" s="327">
        <f>D12</f>
        <v>33654691.21</v>
      </c>
      <c r="C9" s="328">
        <f>IF(B12=0,"-",(B9/B12))</f>
        <v>0.6074023807284993</v>
      </c>
      <c r="D9" s="327">
        <f>F12</f>
        <v>16712504.07</v>
      </c>
      <c r="E9" s="328">
        <f>IF(D12=0,"-",(D9/D12))</f>
        <v>0.4965876515020326</v>
      </c>
      <c r="F9" s="327">
        <v>0</v>
      </c>
      <c r="G9" s="328">
        <f>IF(F12=0,"-",(F9/F12))</f>
        <v>0</v>
      </c>
    </row>
    <row r="10" spans="1:7" ht="15.75">
      <c r="A10" s="299" t="s">
        <v>41</v>
      </c>
      <c r="B10" s="333">
        <v>4511293.98</v>
      </c>
      <c r="C10" s="328">
        <f>IF(B12=0,"-",(B10/B12))</f>
        <v>0.0814201707131975</v>
      </c>
      <c r="D10" s="333">
        <v>4511293.98</v>
      </c>
      <c r="E10" s="328">
        <f>IF(D12=0,"-",(D10/D12))</f>
        <v>0.13404651232276157</v>
      </c>
      <c r="F10" s="294">
        <v>4511293.98</v>
      </c>
      <c r="G10" s="328">
        <f>IF(F12=0,"-",(F10/F12))</f>
        <v>0.269935250941722</v>
      </c>
    </row>
    <row r="11" spans="1:7" ht="15.75">
      <c r="A11" s="300" t="s">
        <v>84</v>
      </c>
      <c r="B11" s="295">
        <v>17241586.92</v>
      </c>
      <c r="C11" s="331">
        <f>IF(B12=0,"-",(B11/B12))</f>
        <v>0.31117744855830326</v>
      </c>
      <c r="D11" s="295">
        <v>12430893.16</v>
      </c>
      <c r="E11" s="331">
        <f>IF(D12=0,"-",(D11/D12))</f>
        <v>0.36936583617520585</v>
      </c>
      <c r="F11" s="295">
        <v>12201210.09</v>
      </c>
      <c r="G11" s="331">
        <f>IF(F12=0,"-",(F11/F12))</f>
        <v>0.730064749058278</v>
      </c>
    </row>
    <row r="12" spans="1:7" ht="15.75">
      <c r="A12" s="301" t="s">
        <v>85</v>
      </c>
      <c r="B12" s="332">
        <f>SUM(B9:B11)</f>
        <v>55407572.11</v>
      </c>
      <c r="C12" s="331">
        <f>IF(B12=0,"-",(B12/B12))</f>
        <v>1</v>
      </c>
      <c r="D12" s="332">
        <f>SUM(D9:D11)</f>
        <v>33654691.21</v>
      </c>
      <c r="E12" s="331">
        <f>IF(D12=0,"-",(D12/D12))</f>
        <v>1</v>
      </c>
      <c r="F12" s="332">
        <f>SUM(F9:F11)</f>
        <v>16712504.07</v>
      </c>
      <c r="G12" s="331">
        <f>IF(F12=0,"-",(F12/F12))</f>
        <v>1</v>
      </c>
    </row>
    <row r="13" spans="1:7" ht="15.75">
      <c r="A13" s="708"/>
      <c r="B13" s="708"/>
      <c r="C13" s="708"/>
      <c r="D13" s="708"/>
      <c r="E13" s="708"/>
      <c r="F13" s="708"/>
      <c r="G13" s="708"/>
    </row>
    <row r="14" spans="1:7" ht="15.75" customHeight="1">
      <c r="A14" s="705" t="s">
        <v>86</v>
      </c>
      <c r="B14" s="705"/>
      <c r="C14" s="705"/>
      <c r="D14" s="705"/>
      <c r="E14" s="705"/>
      <c r="F14" s="705"/>
      <c r="G14" s="705"/>
    </row>
    <row r="15" spans="1:7" s="12" customFormat="1" ht="25.5" customHeight="1">
      <c r="A15" s="297" t="s">
        <v>82</v>
      </c>
      <c r="B15" s="297">
        <f>Parâmetros!C10</f>
        <v>2021</v>
      </c>
      <c r="C15" s="297" t="s">
        <v>13</v>
      </c>
      <c r="D15" s="297">
        <f>B15-1</f>
        <v>2020</v>
      </c>
      <c r="E15" s="297" t="s">
        <v>13</v>
      </c>
      <c r="F15" s="297">
        <f>D15-1</f>
        <v>2019</v>
      </c>
      <c r="G15" s="298" t="s">
        <v>13</v>
      </c>
    </row>
    <row r="16" spans="1:7" ht="15.75">
      <c r="A16" s="299" t="s">
        <v>83</v>
      </c>
      <c r="B16" s="327">
        <f>D19</f>
        <v>0</v>
      </c>
      <c r="C16" s="328" t="str">
        <f>IF(B19=0,"-",(B16/B19))</f>
        <v>-</v>
      </c>
      <c r="D16" s="327">
        <f>F19</f>
        <v>0</v>
      </c>
      <c r="E16" s="328" t="str">
        <f>IF(D19=0,"-",(D16/D19))</f>
        <v>-</v>
      </c>
      <c r="F16" s="327">
        <v>0</v>
      </c>
      <c r="G16" s="328" t="str">
        <f>IF(F19=0,"-",(F16/F19))</f>
        <v>-</v>
      </c>
    </row>
    <row r="17" spans="1:7" ht="15.75">
      <c r="A17" s="299" t="s">
        <v>41</v>
      </c>
      <c r="B17" s="294"/>
      <c r="C17" s="328" t="str">
        <f>IF(B19=0,"-",(B17/B19))</f>
        <v>-</v>
      </c>
      <c r="D17" s="294"/>
      <c r="E17" s="328" t="str">
        <f>IF(D19=0,"-",(D17/D19))</f>
        <v>-</v>
      </c>
      <c r="F17" s="294"/>
      <c r="G17" s="328" t="str">
        <f>IF(F19=0,"-",(F17/F19))</f>
        <v>-</v>
      </c>
    </row>
    <row r="18" spans="1:7" ht="31.5">
      <c r="A18" s="300" t="s">
        <v>546</v>
      </c>
      <c r="B18" s="295">
        <v>0</v>
      </c>
      <c r="C18" s="331" t="str">
        <f>IF(B19=0,"-",(B18/B19))</f>
        <v>-</v>
      </c>
      <c r="D18" s="295">
        <v>0</v>
      </c>
      <c r="E18" s="331" t="str">
        <f>IF(D19=0,"-",(D18/D19))</f>
        <v>-</v>
      </c>
      <c r="F18" s="295"/>
      <c r="G18" s="331" t="str">
        <f>IF(F19=0,"-",(F18/F19))</f>
        <v>-</v>
      </c>
    </row>
    <row r="19" spans="1:7" ht="15.75">
      <c r="A19" s="301" t="s">
        <v>85</v>
      </c>
      <c r="B19" s="332">
        <f>SUM(B16:B18)</f>
        <v>0</v>
      </c>
      <c r="C19" s="331" t="str">
        <f>IF(B19=0,"-",(B19/B19))</f>
        <v>-</v>
      </c>
      <c r="D19" s="332">
        <f>SUM(D16:D18)</f>
        <v>0</v>
      </c>
      <c r="E19" s="331" t="str">
        <f>IF(D19=0,"-",(D19/D19))</f>
        <v>-</v>
      </c>
      <c r="F19" s="332">
        <f>SUM(F16:F18)</f>
        <v>0</v>
      </c>
      <c r="G19" s="331" t="str">
        <f>IF(F19=0,"-",(F19/F19))</f>
        <v>-</v>
      </c>
    </row>
    <row r="20" spans="1:7" ht="15.75">
      <c r="A20" s="706"/>
      <c r="B20" s="706"/>
      <c r="C20" s="706"/>
      <c r="D20" s="706"/>
      <c r="E20" s="706"/>
      <c r="F20" s="706"/>
      <c r="G20" s="706"/>
    </row>
    <row r="21" spans="1:7" ht="15.75" customHeight="1">
      <c r="A21" s="705" t="s">
        <v>172</v>
      </c>
      <c r="B21" s="705"/>
      <c r="C21" s="705"/>
      <c r="D21" s="705"/>
      <c r="E21" s="705"/>
      <c r="F21" s="705"/>
      <c r="G21" s="705"/>
    </row>
    <row r="22" spans="1:7" s="12" customFormat="1" ht="25.5" customHeight="1">
      <c r="A22" s="297" t="s">
        <v>82</v>
      </c>
      <c r="B22" s="297">
        <f>Parâmetros!C10</f>
        <v>2021</v>
      </c>
      <c r="C22" s="297" t="s">
        <v>13</v>
      </c>
      <c r="D22" s="297">
        <f>B22-1</f>
        <v>2020</v>
      </c>
      <c r="E22" s="297" t="s">
        <v>13</v>
      </c>
      <c r="F22" s="297">
        <f>D22-1</f>
        <v>2019</v>
      </c>
      <c r="G22" s="298" t="s">
        <v>13</v>
      </c>
    </row>
    <row r="23" spans="1:7" ht="15.75">
      <c r="A23" s="299" t="s">
        <v>83</v>
      </c>
      <c r="B23" s="327">
        <f>B9+B16</f>
        <v>33654691.21</v>
      </c>
      <c r="C23" s="328">
        <f>IF(B26=0,"-",(B23/B26))</f>
        <v>0.6074023807284993</v>
      </c>
      <c r="D23" s="327">
        <f>D9+D16</f>
        <v>16712504.07</v>
      </c>
      <c r="E23" s="328">
        <f>IF(D26=0,"-",(D23/D26))</f>
        <v>0.4965876515020326</v>
      </c>
      <c r="F23" s="327">
        <f>F9+F16</f>
        <v>0</v>
      </c>
      <c r="G23" s="328">
        <f>IF(F26=0,"-",(F23/F26))</f>
        <v>0</v>
      </c>
    </row>
    <row r="24" spans="1:7" ht="15.75">
      <c r="A24" s="299" t="s">
        <v>41</v>
      </c>
      <c r="B24" s="329">
        <f>B10+B17</f>
        <v>4511293.98</v>
      </c>
      <c r="C24" s="328">
        <f>IF(B26=0,"-",(B24/B26))</f>
        <v>0.0814201707131975</v>
      </c>
      <c r="D24" s="329">
        <f>D10+D17</f>
        <v>4511293.98</v>
      </c>
      <c r="E24" s="328">
        <f>IF(D26=0,"-",(D24/D26))</f>
        <v>0.13404651232276157</v>
      </c>
      <c r="F24" s="329">
        <f>F10+F17</f>
        <v>4511293.98</v>
      </c>
      <c r="G24" s="328">
        <f>IF(F26=0,"-",(F24/F26))</f>
        <v>0.269935250941722</v>
      </c>
    </row>
    <row r="25" spans="1:7" ht="15.75">
      <c r="A25" s="300" t="s">
        <v>84</v>
      </c>
      <c r="B25" s="330">
        <f>B11+B18</f>
        <v>17241586.92</v>
      </c>
      <c r="C25" s="331">
        <f>IF(B26=0,"-",(B25/B26))</f>
        <v>0.31117744855830326</v>
      </c>
      <c r="D25" s="330">
        <f>D11+D18</f>
        <v>12430893.16</v>
      </c>
      <c r="E25" s="331">
        <f>IF(D26=0,"-",(D25/D26))</f>
        <v>0.36936583617520585</v>
      </c>
      <c r="F25" s="330">
        <f>F11+F18</f>
        <v>12201210.09</v>
      </c>
      <c r="G25" s="331">
        <f>IF(F26=0,"-",(F25/F26))</f>
        <v>0.730064749058278</v>
      </c>
    </row>
    <row r="26" spans="1:7" ht="15.75">
      <c r="A26" s="301" t="s">
        <v>85</v>
      </c>
      <c r="B26" s="332">
        <f>SUM(B23:B25)</f>
        <v>55407572.11</v>
      </c>
      <c r="C26" s="331">
        <f>IF(B26=0,"-",(B26/B26))</f>
        <v>1</v>
      </c>
      <c r="D26" s="332">
        <f>SUM(D23:D25)</f>
        <v>33654691.21</v>
      </c>
      <c r="E26" s="331">
        <f>IF(D26=0,"-",(D26/D26))</f>
        <v>1</v>
      </c>
      <c r="F26" s="332">
        <f>SUM(F23:F25)</f>
        <v>16712504.07</v>
      </c>
      <c r="G26" s="331">
        <f>IF(F26=0,"-",(F26/F26))</f>
        <v>1</v>
      </c>
    </row>
    <row r="27" spans="1:7" ht="15.75">
      <c r="A27" s="700" t="s">
        <v>203</v>
      </c>
      <c r="B27" s="701"/>
      <c r="C27" s="701"/>
      <c r="D27" s="701"/>
      <c r="E27" s="701"/>
      <c r="F27" s="701"/>
      <c r="G27" s="701"/>
    </row>
    <row r="41" ht="12.75">
      <c r="H41" s="11" t="s">
        <v>582</v>
      </c>
    </row>
  </sheetData>
  <sheetProtection/>
  <mergeCells count="12">
    <mergeCell ref="A1:G1"/>
    <mergeCell ref="A2:G2"/>
    <mergeCell ref="A13:G13"/>
    <mergeCell ref="A14:G14"/>
    <mergeCell ref="A7:B7"/>
    <mergeCell ref="A3:G3"/>
    <mergeCell ref="A4:G4"/>
    <mergeCell ref="A5:G5"/>
    <mergeCell ref="A27:G27"/>
    <mergeCell ref="A6:G6"/>
    <mergeCell ref="A21:G21"/>
    <mergeCell ref="A20:G20"/>
  </mergeCells>
  <printOptions/>
  <pageMargins left="0.787401575" right="0.787401575" top="0.984251969" bottom="0.984251969" header="0.492125985" footer="0.492125985"/>
  <pageSetup fitToHeight="0" fitToWidth="1" horizontalDpi="300" verticalDpi="300" orientation="portrait" scale="77" r:id="rId2"/>
  <drawing r:id="rId1"/>
</worksheet>
</file>

<file path=xl/worksheets/sheet12.xml><?xml version="1.0" encoding="utf-8"?>
<worksheet xmlns="http://schemas.openxmlformats.org/spreadsheetml/2006/main" xmlns:r="http://schemas.openxmlformats.org/officeDocument/2006/relationships">
  <sheetPr codeName="Plan15"/>
  <dimension ref="A1:D31"/>
  <sheetViews>
    <sheetView zoomScale="90" zoomScaleNormal="90" zoomScaleSheetLayoutView="90" zoomScalePageLayoutView="0" workbookViewId="0" topLeftCell="A1">
      <selection activeCell="A5" sqref="A5:D5"/>
    </sheetView>
  </sheetViews>
  <sheetFormatPr defaultColWidth="9.140625" defaultRowHeight="12.75"/>
  <cols>
    <col min="1" max="1" width="58.421875" style="13" customWidth="1"/>
    <col min="2" max="3" width="14.7109375" style="13" customWidth="1"/>
    <col min="4" max="4" width="15.7109375" style="13" customWidth="1"/>
    <col min="5" max="16384" width="9.140625" style="13" customWidth="1"/>
  </cols>
  <sheetData>
    <row r="1" spans="1:4" ht="14.25">
      <c r="A1" s="722" t="str">
        <f>Parâmetros!A7</f>
        <v>Município de Barra do Quaraí</v>
      </c>
      <c r="B1" s="720"/>
      <c r="C1" s="720"/>
      <c r="D1" s="721"/>
    </row>
    <row r="2" spans="1:4" ht="14.25">
      <c r="A2" s="719" t="s">
        <v>36</v>
      </c>
      <c r="B2" s="720"/>
      <c r="C2" s="720"/>
      <c r="D2" s="721"/>
    </row>
    <row r="3" spans="1:4" ht="14.25">
      <c r="A3" s="719" t="s">
        <v>148</v>
      </c>
      <c r="B3" s="720"/>
      <c r="C3" s="720"/>
      <c r="D3" s="721"/>
    </row>
    <row r="4" spans="1:4" ht="15">
      <c r="A4" s="723" t="s">
        <v>453</v>
      </c>
      <c r="B4" s="724"/>
      <c r="C4" s="724"/>
      <c r="D4" s="725"/>
    </row>
    <row r="5" spans="1:4" ht="14.25">
      <c r="A5" s="719" t="s">
        <v>611</v>
      </c>
      <c r="B5" s="720"/>
      <c r="C5" s="720"/>
      <c r="D5" s="721"/>
    </row>
    <row r="6" spans="1:4" ht="14.25">
      <c r="A6" s="719"/>
      <c r="B6" s="720"/>
      <c r="C6" s="720"/>
      <c r="D6" s="721"/>
    </row>
    <row r="7" spans="1:4" ht="14.25">
      <c r="A7" s="339" t="s">
        <v>458</v>
      </c>
      <c r="B7" s="340"/>
      <c r="C7" s="340"/>
      <c r="D7" s="341">
        <v>1</v>
      </c>
    </row>
    <row r="8" spans="1:4" s="14" customFormat="1" ht="25.5" customHeight="1">
      <c r="A8" s="342" t="s">
        <v>87</v>
      </c>
      <c r="B8" s="343">
        <f>Parâmetros!$C$10</f>
        <v>2021</v>
      </c>
      <c r="C8" s="343">
        <f>B8-1</f>
        <v>2020</v>
      </c>
      <c r="D8" s="344">
        <f>C8-1</f>
        <v>2019</v>
      </c>
    </row>
    <row r="9" spans="1:4" s="14" customFormat="1" ht="25.5" customHeight="1">
      <c r="A9" s="345" t="s">
        <v>687</v>
      </c>
      <c r="B9" s="372"/>
      <c r="C9" s="373"/>
      <c r="D9" s="346">
        <v>0</v>
      </c>
    </row>
    <row r="10" spans="1:4" ht="12.75" customHeight="1">
      <c r="A10" s="347" t="s">
        <v>583</v>
      </c>
      <c r="B10" s="348">
        <f>B11</f>
        <v>12878.7</v>
      </c>
      <c r="C10" s="349">
        <f>C11</f>
        <v>17576.02</v>
      </c>
      <c r="D10" s="349">
        <f>D11</f>
        <v>23626</v>
      </c>
    </row>
    <row r="11" spans="1:4" ht="12.75" customHeight="1">
      <c r="A11" s="347" t="s">
        <v>584</v>
      </c>
      <c r="B11" s="349">
        <f>B12+B13+B14</f>
        <v>12878.7</v>
      </c>
      <c r="C11" s="349">
        <f>C12+C13+C14</f>
        <v>17576.02</v>
      </c>
      <c r="D11" s="349">
        <f>D12+D13+D14</f>
        <v>23626</v>
      </c>
    </row>
    <row r="12" spans="1:4" ht="12.75" customHeight="1">
      <c r="A12" s="347" t="s">
        <v>88</v>
      </c>
      <c r="B12" s="350">
        <v>0</v>
      </c>
      <c r="C12" s="351">
        <v>0</v>
      </c>
      <c r="D12" s="351">
        <v>0</v>
      </c>
    </row>
    <row r="13" spans="1:4" ht="12.75" customHeight="1">
      <c r="A13" s="347" t="s">
        <v>89</v>
      </c>
      <c r="B13" s="350">
        <v>12878.7</v>
      </c>
      <c r="C13" s="351">
        <v>17576.02</v>
      </c>
      <c r="D13" s="351">
        <v>23626</v>
      </c>
    </row>
    <row r="14" spans="1:4" ht="12.75" customHeight="1">
      <c r="A14" s="347" t="s">
        <v>585</v>
      </c>
      <c r="B14" s="350">
        <v>0</v>
      </c>
      <c r="C14" s="351">
        <v>0</v>
      </c>
      <c r="D14" s="351">
        <v>0</v>
      </c>
    </row>
    <row r="15" spans="1:4" ht="12.75" customHeight="1">
      <c r="A15" s="347" t="s">
        <v>137</v>
      </c>
      <c r="B15" s="352">
        <v>0</v>
      </c>
      <c r="C15" s="353">
        <v>0</v>
      </c>
      <c r="D15" s="353">
        <v>0</v>
      </c>
    </row>
    <row r="16" spans="1:4" ht="15">
      <c r="A16" s="381" t="s">
        <v>586</v>
      </c>
      <c r="B16" s="354">
        <f>B12+B13+B14+B15</f>
        <v>12878.7</v>
      </c>
      <c r="C16" s="354">
        <f>C12+C13+C14+C15</f>
        <v>17576.02</v>
      </c>
      <c r="D16" s="354">
        <f>D9+D10+D15</f>
        <v>23626</v>
      </c>
    </row>
    <row r="17" spans="1:4" ht="14.25">
      <c r="A17" s="718"/>
      <c r="B17" s="718"/>
      <c r="C17" s="718"/>
      <c r="D17" s="718"/>
    </row>
    <row r="18" spans="1:4" s="14" customFormat="1" ht="14.25">
      <c r="A18" s="711" t="s">
        <v>155</v>
      </c>
      <c r="B18" s="713">
        <f>B8</f>
        <v>2021</v>
      </c>
      <c r="C18" s="713">
        <f>B18-1</f>
        <v>2020</v>
      </c>
      <c r="D18" s="713">
        <f>C18-1</f>
        <v>2019</v>
      </c>
    </row>
    <row r="19" spans="1:4" s="14" customFormat="1" ht="14.25">
      <c r="A19" s="712"/>
      <c r="B19" s="714"/>
      <c r="C19" s="714"/>
      <c r="D19" s="714"/>
    </row>
    <row r="20" spans="1:4" ht="28.5">
      <c r="A20" s="355" t="s">
        <v>587</v>
      </c>
      <c r="B20" s="356"/>
      <c r="C20" s="356"/>
      <c r="D20" s="357"/>
    </row>
    <row r="21" spans="1:4" ht="14.25">
      <c r="A21" s="355" t="s">
        <v>90</v>
      </c>
      <c r="B21" s="358">
        <f>B22+B23+B24</f>
        <v>1607456.36</v>
      </c>
      <c r="C21" s="358">
        <f>C22+C23+C24</f>
        <v>1609679.6600000001</v>
      </c>
      <c r="D21" s="359">
        <f>D22+D23+D24</f>
        <v>1199826.98</v>
      </c>
    </row>
    <row r="22" spans="1:4" ht="14.25">
      <c r="A22" s="355" t="s">
        <v>91</v>
      </c>
      <c r="B22" s="360">
        <v>629503.55</v>
      </c>
      <c r="C22" s="360">
        <v>612945.98</v>
      </c>
      <c r="D22" s="361">
        <v>826587.35</v>
      </c>
    </row>
    <row r="23" spans="1:4" ht="14.25">
      <c r="A23" s="355" t="s">
        <v>92</v>
      </c>
      <c r="B23" s="360"/>
      <c r="C23" s="360">
        <v>0</v>
      </c>
      <c r="D23" s="361">
        <v>0</v>
      </c>
    </row>
    <row r="24" spans="1:4" ht="14.25">
      <c r="A24" s="355" t="s">
        <v>93</v>
      </c>
      <c r="B24" s="360">
        <v>977952.81</v>
      </c>
      <c r="C24" s="360">
        <v>996733.68</v>
      </c>
      <c r="D24" s="361">
        <v>373239.63</v>
      </c>
    </row>
    <row r="25" spans="1:4" ht="14.25">
      <c r="A25" s="355" t="s">
        <v>94</v>
      </c>
      <c r="B25" s="358">
        <f>B26+B27</f>
        <v>0</v>
      </c>
      <c r="C25" s="358">
        <f>C26+C27</f>
        <v>0</v>
      </c>
      <c r="D25" s="359">
        <f>D26+D27</f>
        <v>0</v>
      </c>
    </row>
    <row r="26" spans="1:4" ht="14.25">
      <c r="A26" s="355" t="s">
        <v>95</v>
      </c>
      <c r="B26" s="360">
        <v>0</v>
      </c>
      <c r="C26" s="360"/>
      <c r="D26" s="361"/>
    </row>
    <row r="27" spans="1:4" ht="14.25">
      <c r="A27" s="362" t="s">
        <v>96</v>
      </c>
      <c r="B27" s="363"/>
      <c r="C27" s="363"/>
      <c r="D27" s="364"/>
    </row>
    <row r="28" spans="1:4" ht="15">
      <c r="A28" s="382" t="s">
        <v>586</v>
      </c>
      <c r="B28" s="365">
        <f>B21+B25</f>
        <v>1607456.36</v>
      </c>
      <c r="C28" s="365">
        <f>C21+C25</f>
        <v>1609679.6600000001</v>
      </c>
      <c r="D28" s="366">
        <f>D21+D25</f>
        <v>1199826.98</v>
      </c>
    </row>
    <row r="29" spans="1:4" ht="14.25">
      <c r="A29" s="715" t="s">
        <v>97</v>
      </c>
      <c r="B29" s="363"/>
      <c r="C29" s="363"/>
      <c r="D29" s="364"/>
    </row>
    <row r="30" spans="1:4" ht="14.25">
      <c r="A30" s="716"/>
      <c r="B30" s="365">
        <f>C30+B16-B28</f>
        <v>-4362882.28</v>
      </c>
      <c r="C30" s="365">
        <f>D30+C16-C28</f>
        <v>-2768304.62</v>
      </c>
      <c r="D30" s="367">
        <f>D16-D28</f>
        <v>-1176200.98</v>
      </c>
    </row>
    <row r="31" spans="1:4" ht="14.25">
      <c r="A31" s="717" t="s">
        <v>203</v>
      </c>
      <c r="B31" s="717"/>
      <c r="C31" s="717"/>
      <c r="D31" s="717"/>
    </row>
  </sheetData>
  <sheetProtection/>
  <mergeCells count="13">
    <mergeCell ref="A17:D17"/>
    <mergeCell ref="A5:D5"/>
    <mergeCell ref="A6:D6"/>
    <mergeCell ref="A1:D1"/>
    <mergeCell ref="A2:D2"/>
    <mergeCell ref="A3:D3"/>
    <mergeCell ref="A4:D4"/>
    <mergeCell ref="A18:A19"/>
    <mergeCell ref="B18:B19"/>
    <mergeCell ref="C18:C19"/>
    <mergeCell ref="D18:D19"/>
    <mergeCell ref="A29:A30"/>
    <mergeCell ref="A31:D31"/>
  </mergeCells>
  <printOptions/>
  <pageMargins left="0.787401575" right="0.787401575" top="0.984251969" bottom="0.984251969" header="0.492125985" footer="0.492125985"/>
  <pageSetup horizontalDpi="300" verticalDpi="300" orientation="portrait" scale="8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162"/>
  <sheetViews>
    <sheetView zoomScalePageLayoutView="0" workbookViewId="0" topLeftCell="A76">
      <selection activeCell="A3" sqref="A3:D3"/>
    </sheetView>
  </sheetViews>
  <sheetFormatPr defaultColWidth="4.140625" defaultRowHeight="11.25" customHeight="1"/>
  <cols>
    <col min="1" max="1" width="58.7109375" style="428" customWidth="1"/>
    <col min="2" max="2" width="12.00390625" style="428" customWidth="1"/>
    <col min="3" max="3" width="10.140625" style="428" customWidth="1"/>
    <col min="4" max="4" width="15.421875" style="428" customWidth="1"/>
    <col min="5" max="5" width="13.140625" style="428" customWidth="1"/>
    <col min="6" max="6" width="5.421875" style="428" customWidth="1"/>
    <col min="7" max="16384" width="4.140625" style="428" customWidth="1"/>
  </cols>
  <sheetData>
    <row r="1" spans="1:4" ht="12.75">
      <c r="A1" s="770" t="str">
        <f>Parâmetros!A7</f>
        <v>Município de Barra do Quaraí</v>
      </c>
      <c r="B1" s="771"/>
      <c r="C1" s="771"/>
      <c r="D1" s="771"/>
    </row>
    <row r="2" spans="1:4" ht="12.75">
      <c r="A2" s="771" t="s">
        <v>36</v>
      </c>
      <c r="B2" s="771"/>
      <c r="C2" s="771"/>
      <c r="D2" s="771"/>
    </row>
    <row r="3" spans="1:4" ht="12.75">
      <c r="A3" s="771" t="s">
        <v>148</v>
      </c>
      <c r="B3" s="771"/>
      <c r="C3" s="771"/>
      <c r="D3" s="771"/>
    </row>
    <row r="4" spans="1:4" ht="12.75">
      <c r="A4" s="772" t="s">
        <v>440</v>
      </c>
      <c r="B4" s="772"/>
      <c r="C4" s="772"/>
      <c r="D4" s="772"/>
    </row>
    <row r="5" spans="1:4" ht="12.75">
      <c r="A5" s="771" t="s">
        <v>611</v>
      </c>
      <c r="B5" s="771"/>
      <c r="C5" s="771"/>
      <c r="D5" s="771"/>
    </row>
    <row r="6" spans="1:4" ht="11.25" customHeight="1">
      <c r="A6" s="429"/>
      <c r="B6" s="429"/>
      <c r="C6" s="429"/>
      <c r="D6" s="429"/>
    </row>
    <row r="7" spans="1:6" ht="11.25" customHeight="1" thickBot="1">
      <c r="A7" s="773" t="s">
        <v>395</v>
      </c>
      <c r="B7" s="773"/>
      <c r="C7" s="773"/>
      <c r="D7" s="773"/>
      <c r="E7" s="765">
        <v>1</v>
      </c>
      <c r="F7" s="765"/>
    </row>
    <row r="8" spans="1:6" ht="19.5" customHeight="1" thickBot="1">
      <c r="A8" s="766" t="s">
        <v>647</v>
      </c>
      <c r="B8" s="766"/>
      <c r="C8" s="766"/>
      <c r="D8" s="766"/>
      <c r="E8" s="766"/>
      <c r="F8" s="766"/>
    </row>
    <row r="9" spans="1:6" s="430" customFormat="1" ht="15" customHeight="1">
      <c r="A9" s="767" t="s">
        <v>396</v>
      </c>
      <c r="B9" s="768"/>
      <c r="C9" s="768"/>
      <c r="D9" s="768"/>
      <c r="E9" s="768"/>
      <c r="F9" s="768"/>
    </row>
    <row r="10" spans="1:6" ht="12.75" customHeight="1">
      <c r="A10" s="431" t="s">
        <v>397</v>
      </c>
      <c r="B10" s="742">
        <f>D10-1</f>
        <v>2019</v>
      </c>
      <c r="C10" s="741"/>
      <c r="D10" s="432">
        <f>E10-1</f>
        <v>2020</v>
      </c>
      <c r="E10" s="734">
        <f>Parâmetros!C10</f>
        <v>2021</v>
      </c>
      <c r="F10" s="734"/>
    </row>
    <row r="11" spans="1:6" ht="12.75">
      <c r="A11" s="428" t="s">
        <v>398</v>
      </c>
      <c r="B11" s="433"/>
      <c r="C11" s="434"/>
      <c r="D11" s="435"/>
      <c r="E11" s="434"/>
      <c r="F11" s="434"/>
    </row>
    <row r="12" spans="1:4" ht="12.75">
      <c r="A12" s="436" t="s">
        <v>399</v>
      </c>
      <c r="B12" s="437"/>
      <c r="C12" s="438"/>
      <c r="D12" s="439"/>
    </row>
    <row r="13" spans="1:4" ht="12.75">
      <c r="A13" s="440" t="s">
        <v>400</v>
      </c>
      <c r="B13" s="433"/>
      <c r="C13" s="438"/>
      <c r="D13" s="439"/>
    </row>
    <row r="14" spans="1:4" ht="12.75">
      <c r="A14" s="441" t="s">
        <v>401</v>
      </c>
      <c r="B14" s="433"/>
      <c r="C14" s="438"/>
      <c r="D14" s="439"/>
    </row>
    <row r="15" spans="1:4" ht="12.75">
      <c r="A15" s="441" t="s">
        <v>402</v>
      </c>
      <c r="B15" s="433"/>
      <c r="C15" s="438"/>
      <c r="D15" s="439"/>
    </row>
    <row r="16" spans="1:4" ht="12.75">
      <c r="A16" s="441" t="s">
        <v>403</v>
      </c>
      <c r="B16" s="433"/>
      <c r="C16" s="438"/>
      <c r="D16" s="439"/>
    </row>
    <row r="17" spans="1:4" ht="12.75">
      <c r="A17" s="440" t="s">
        <v>404</v>
      </c>
      <c r="B17" s="433"/>
      <c r="C17" s="438"/>
      <c r="D17" s="439"/>
    </row>
    <row r="18" spans="1:4" ht="12.75">
      <c r="A18" s="441" t="s">
        <v>401</v>
      </c>
      <c r="B18" s="433"/>
      <c r="C18" s="438"/>
      <c r="D18" s="439"/>
    </row>
    <row r="19" spans="1:4" ht="12.75">
      <c r="A19" s="441" t="s">
        <v>402</v>
      </c>
      <c r="B19" s="433"/>
      <c r="C19" s="438"/>
      <c r="D19" s="439"/>
    </row>
    <row r="20" spans="1:4" ht="12.75">
      <c r="A20" s="441" t="s">
        <v>403</v>
      </c>
      <c r="B20" s="433"/>
      <c r="C20" s="438"/>
      <c r="D20" s="439"/>
    </row>
    <row r="21" spans="1:4" ht="12.75">
      <c r="A21" s="428" t="s">
        <v>405</v>
      </c>
      <c r="B21" s="433"/>
      <c r="C21" s="438"/>
      <c r="D21" s="439"/>
    </row>
    <row r="22" spans="1:4" ht="12.75">
      <c r="A22" s="440" t="s">
        <v>400</v>
      </c>
      <c r="B22" s="433"/>
      <c r="C22" s="438"/>
      <c r="D22" s="439"/>
    </row>
    <row r="23" spans="1:4" ht="12.75">
      <c r="A23" s="441" t="s">
        <v>401</v>
      </c>
      <c r="B23" s="433"/>
      <c r="C23" s="438"/>
      <c r="D23" s="439"/>
    </row>
    <row r="24" spans="1:4" ht="12.75">
      <c r="A24" s="441" t="s">
        <v>402</v>
      </c>
      <c r="B24" s="433"/>
      <c r="C24" s="438"/>
      <c r="D24" s="439"/>
    </row>
    <row r="25" spans="1:4" ht="12.75">
      <c r="A25" s="441" t="s">
        <v>403</v>
      </c>
      <c r="B25" s="433"/>
      <c r="C25" s="438"/>
      <c r="D25" s="439"/>
    </row>
    <row r="26" spans="1:4" ht="12.75">
      <c r="A26" s="440" t="s">
        <v>404</v>
      </c>
      <c r="B26" s="433"/>
      <c r="C26" s="438"/>
      <c r="D26" s="439"/>
    </row>
    <row r="27" spans="1:4" ht="12.75">
      <c r="A27" s="441" t="s">
        <v>401</v>
      </c>
      <c r="B27" s="433"/>
      <c r="C27" s="438"/>
      <c r="D27" s="439"/>
    </row>
    <row r="28" spans="1:4" ht="12.75">
      <c r="A28" s="441" t="s">
        <v>402</v>
      </c>
      <c r="B28" s="433"/>
      <c r="C28" s="438"/>
      <c r="D28" s="439"/>
    </row>
    <row r="29" spans="1:4" ht="12.75">
      <c r="A29" s="441" t="s">
        <v>403</v>
      </c>
      <c r="B29" s="433"/>
      <c r="C29" s="438"/>
      <c r="D29" s="439"/>
    </row>
    <row r="30" spans="1:4" ht="12.75">
      <c r="A30" s="436" t="s">
        <v>233</v>
      </c>
      <c r="B30" s="433"/>
      <c r="C30" s="438"/>
      <c r="D30" s="439"/>
    </row>
    <row r="31" spans="1:4" ht="12.75">
      <c r="A31" s="440" t="s">
        <v>406</v>
      </c>
      <c r="B31" s="433"/>
      <c r="C31" s="438"/>
      <c r="D31" s="439"/>
    </row>
    <row r="32" spans="1:4" ht="12.75">
      <c r="A32" s="440" t="s">
        <v>407</v>
      </c>
      <c r="B32" s="433"/>
      <c r="C32" s="438"/>
      <c r="D32" s="439"/>
    </row>
    <row r="33" spans="1:4" ht="12.75">
      <c r="A33" s="440" t="s">
        <v>408</v>
      </c>
      <c r="B33" s="433"/>
      <c r="C33" s="438"/>
      <c r="D33" s="439"/>
    </row>
    <row r="34" spans="1:4" ht="12.75">
      <c r="A34" s="436" t="s">
        <v>255</v>
      </c>
      <c r="B34" s="433"/>
      <c r="C34" s="438"/>
      <c r="D34" s="439"/>
    </row>
    <row r="35" spans="1:4" ht="12.75">
      <c r="A35" s="436" t="s">
        <v>310</v>
      </c>
      <c r="B35" s="433"/>
      <c r="C35" s="438"/>
      <c r="D35" s="439"/>
    </row>
    <row r="36" spans="1:4" ht="12.75">
      <c r="A36" s="440" t="s">
        <v>409</v>
      </c>
      <c r="B36" s="433"/>
      <c r="C36" s="438"/>
      <c r="D36" s="439"/>
    </row>
    <row r="37" spans="1:4" ht="12.75" customHeight="1">
      <c r="A37" s="442" t="s">
        <v>672</v>
      </c>
      <c r="B37" s="433"/>
      <c r="C37" s="438"/>
      <c r="D37" s="439"/>
    </row>
    <row r="38" spans="1:4" ht="12.75">
      <c r="A38" s="440" t="s">
        <v>316</v>
      </c>
      <c r="B38" s="433"/>
      <c r="C38" s="438"/>
      <c r="D38" s="439"/>
    </row>
    <row r="39" spans="1:4" ht="12.75">
      <c r="A39" s="428" t="s">
        <v>648</v>
      </c>
      <c r="B39" s="433"/>
      <c r="C39" s="438"/>
      <c r="D39" s="439"/>
    </row>
    <row r="40" spans="1:4" ht="12.75">
      <c r="A40" s="436" t="s">
        <v>410</v>
      </c>
      <c r="B40" s="433"/>
      <c r="C40" s="438"/>
      <c r="D40" s="439"/>
    </row>
    <row r="41" spans="1:4" ht="12.75">
      <c r="A41" s="436" t="s">
        <v>335</v>
      </c>
      <c r="B41" s="433"/>
      <c r="C41" s="438"/>
      <c r="D41" s="439"/>
    </row>
    <row r="42" spans="1:4" ht="12.75">
      <c r="A42" s="436" t="s">
        <v>346</v>
      </c>
      <c r="B42" s="433"/>
      <c r="C42" s="438"/>
      <c r="D42" s="439"/>
    </row>
    <row r="43" spans="1:6" ht="12.75">
      <c r="A43" s="443" t="s">
        <v>649</v>
      </c>
      <c r="B43" s="444"/>
      <c r="C43" s="445"/>
      <c r="D43" s="446"/>
      <c r="E43" s="445"/>
      <c r="F43" s="445"/>
    </row>
    <row r="44" ht="6.75" customHeight="1"/>
    <row r="45" spans="1:6" ht="12.75" customHeight="1">
      <c r="A45" s="447" t="s">
        <v>411</v>
      </c>
      <c r="B45" s="750">
        <f>B10</f>
        <v>2019</v>
      </c>
      <c r="C45" s="749"/>
      <c r="D45" s="448">
        <f>D10</f>
        <v>2020</v>
      </c>
      <c r="E45" s="750">
        <f>E10</f>
        <v>2021</v>
      </c>
      <c r="F45" s="749"/>
    </row>
    <row r="46" spans="1:6" ht="12.75">
      <c r="A46" s="436" t="s">
        <v>412</v>
      </c>
      <c r="B46" s="751"/>
      <c r="C46" s="752"/>
      <c r="D46" s="769"/>
      <c r="E46" s="751"/>
      <c r="F46" s="752"/>
    </row>
    <row r="47" spans="1:6" ht="12.75">
      <c r="A47" s="449" t="s">
        <v>413</v>
      </c>
      <c r="B47" s="751"/>
      <c r="C47" s="752"/>
      <c r="D47" s="769"/>
      <c r="E47" s="751"/>
      <c r="F47" s="752"/>
    </row>
    <row r="48" spans="1:6" ht="12.75">
      <c r="A48" s="449" t="s">
        <v>414</v>
      </c>
      <c r="B48" s="751"/>
      <c r="C48" s="752"/>
      <c r="D48" s="769"/>
      <c r="E48" s="751"/>
      <c r="F48" s="752"/>
    </row>
    <row r="49" spans="1:6" ht="12.75">
      <c r="A49" s="449" t="s">
        <v>415</v>
      </c>
      <c r="B49" s="751"/>
      <c r="C49" s="752"/>
      <c r="D49" s="769"/>
      <c r="E49" s="751"/>
      <c r="F49" s="752"/>
    </row>
    <row r="50" spans="1:6" ht="12.75">
      <c r="A50" s="436" t="s">
        <v>416</v>
      </c>
      <c r="B50" s="751"/>
      <c r="C50" s="752"/>
      <c r="D50" s="769"/>
      <c r="E50" s="751"/>
      <c r="F50" s="752"/>
    </row>
    <row r="51" spans="1:6" ht="12.75">
      <c r="A51" s="449" t="s">
        <v>417</v>
      </c>
      <c r="B51" s="751"/>
      <c r="C51" s="752"/>
      <c r="D51" s="769"/>
      <c r="E51" s="751"/>
      <c r="F51" s="752"/>
    </row>
    <row r="52" spans="1:6" ht="12.75">
      <c r="A52" s="449" t="s">
        <v>414</v>
      </c>
      <c r="B52" s="751"/>
      <c r="C52" s="752"/>
      <c r="D52" s="769"/>
      <c r="E52" s="751"/>
      <c r="F52" s="752"/>
    </row>
    <row r="53" spans="1:6" ht="12.75">
      <c r="A53" s="449" t="s">
        <v>415</v>
      </c>
      <c r="B53" s="751"/>
      <c r="C53" s="752"/>
      <c r="D53" s="769"/>
      <c r="E53" s="751"/>
      <c r="F53" s="752"/>
    </row>
    <row r="54" spans="1:6" ht="12.75">
      <c r="A54" s="450" t="s">
        <v>418</v>
      </c>
      <c r="B54" s="751"/>
      <c r="C54" s="752"/>
      <c r="D54" s="769"/>
      <c r="E54" s="751"/>
      <c r="F54" s="752"/>
    </row>
    <row r="55" spans="1:6" ht="12.75">
      <c r="A55" s="449" t="s">
        <v>419</v>
      </c>
      <c r="B55" s="751"/>
      <c r="C55" s="752"/>
      <c r="D55" s="769"/>
      <c r="E55" s="751"/>
      <c r="F55" s="752"/>
    </row>
    <row r="56" spans="1:6" ht="12.75">
      <c r="A56" s="449" t="s">
        <v>420</v>
      </c>
      <c r="B56" s="751"/>
      <c r="C56" s="752"/>
      <c r="D56" s="769"/>
      <c r="E56" s="751"/>
      <c r="F56" s="752"/>
    </row>
    <row r="57" spans="1:6" ht="12.75">
      <c r="A57" s="451" t="s">
        <v>650</v>
      </c>
      <c r="B57" s="743"/>
      <c r="C57" s="744"/>
      <c r="D57" s="452"/>
      <c r="E57" s="453"/>
      <c r="F57" s="454"/>
    </row>
    <row r="58" spans="1:4" ht="7.5" customHeight="1">
      <c r="A58" s="455"/>
      <c r="B58" s="456"/>
      <c r="C58" s="457"/>
      <c r="D58" s="457"/>
    </row>
    <row r="59" spans="1:6" ht="15">
      <c r="A59" s="458" t="s">
        <v>673</v>
      </c>
      <c r="B59" s="774"/>
      <c r="C59" s="775"/>
      <c r="D59" s="459"/>
      <c r="E59" s="747"/>
      <c r="F59" s="748"/>
    </row>
    <row r="60" spans="1:6" ht="8.25" customHeight="1">
      <c r="A60" s="460"/>
      <c r="B60" s="461"/>
      <c r="C60" s="461"/>
      <c r="D60" s="462"/>
      <c r="E60" s="462"/>
      <c r="F60" s="462"/>
    </row>
    <row r="61" spans="1:8" s="465" customFormat="1" ht="12.75" customHeight="1">
      <c r="A61" s="463" t="s">
        <v>421</v>
      </c>
      <c r="B61" s="750">
        <f>B45</f>
        <v>2019</v>
      </c>
      <c r="C61" s="749"/>
      <c r="D61" s="448">
        <f>D45</f>
        <v>2020</v>
      </c>
      <c r="E61" s="749">
        <f>E45</f>
        <v>2021</v>
      </c>
      <c r="F61" s="749"/>
      <c r="G61" s="464"/>
      <c r="H61" s="464"/>
    </row>
    <row r="62" spans="1:8" ht="12.75">
      <c r="A62" s="466" t="s">
        <v>422</v>
      </c>
      <c r="B62" s="761"/>
      <c r="C62" s="762"/>
      <c r="D62" s="762"/>
      <c r="E62" s="762"/>
      <c r="F62" s="762"/>
      <c r="G62" s="467"/>
      <c r="H62" s="467"/>
    </row>
    <row r="63" spans="1:6" ht="7.5" customHeight="1">
      <c r="A63" s="460"/>
      <c r="B63" s="461"/>
      <c r="C63" s="462"/>
      <c r="D63" s="468"/>
      <c r="E63" s="468"/>
      <c r="F63" s="468"/>
    </row>
    <row r="64" spans="1:6" ht="12.75">
      <c r="A64" s="463" t="s">
        <v>170</v>
      </c>
      <c r="B64" s="763">
        <f>B61</f>
        <v>2019</v>
      </c>
      <c r="C64" s="764"/>
      <c r="D64" s="469">
        <f>D61</f>
        <v>2020</v>
      </c>
      <c r="E64" s="764">
        <f>E61</f>
        <v>2021</v>
      </c>
      <c r="F64" s="764"/>
    </row>
    <row r="65" spans="1:6" ht="12.75" customHeight="1">
      <c r="A65" s="466" t="s">
        <v>422</v>
      </c>
      <c r="B65" s="470"/>
      <c r="C65" s="470"/>
      <c r="D65" s="471"/>
      <c r="E65" s="471"/>
      <c r="F65" s="470"/>
    </row>
    <row r="66" spans="2:4" ht="12.75">
      <c r="B66" s="472"/>
      <c r="C66" s="473"/>
      <c r="D66" s="473"/>
    </row>
    <row r="67" spans="1:6" ht="12.75">
      <c r="A67" s="463" t="s">
        <v>423</v>
      </c>
      <c r="B67" s="742">
        <f>B64</f>
        <v>2019</v>
      </c>
      <c r="C67" s="741"/>
      <c r="D67" s="474">
        <f>D64</f>
        <v>2020</v>
      </c>
      <c r="E67" s="741">
        <f>E64</f>
        <v>2021</v>
      </c>
      <c r="F67" s="741"/>
    </row>
    <row r="68" spans="1:5" ht="12.75">
      <c r="A68" s="475" t="s">
        <v>424</v>
      </c>
      <c r="B68" s="476"/>
      <c r="C68" s="477"/>
      <c r="D68" s="478"/>
      <c r="E68" s="477"/>
    </row>
    <row r="69" spans="1:5" ht="12.75">
      <c r="A69" s="479" t="s">
        <v>425</v>
      </c>
      <c r="B69" s="480"/>
      <c r="C69" s="477"/>
      <c r="D69" s="481"/>
      <c r="E69" s="477"/>
    </row>
    <row r="70" spans="1:5" ht="12.75">
      <c r="A70" s="428" t="s">
        <v>426</v>
      </c>
      <c r="B70" s="480"/>
      <c r="C70" s="477"/>
      <c r="D70" s="481"/>
      <c r="E70" s="477"/>
    </row>
    <row r="71" spans="1:6" ht="12.75" customHeight="1">
      <c r="A71" s="482" t="s">
        <v>427</v>
      </c>
      <c r="B71" s="483"/>
      <c r="C71" s="484"/>
      <c r="D71" s="485"/>
      <c r="E71" s="484"/>
      <c r="F71" s="486"/>
    </row>
    <row r="72" spans="1:4" ht="12.75">
      <c r="A72" s="487"/>
      <c r="B72" s="487"/>
      <c r="C72" s="487"/>
      <c r="D72" s="487"/>
    </row>
    <row r="73" spans="1:6" ht="12.75">
      <c r="A73" s="488" t="s">
        <v>171</v>
      </c>
      <c r="B73" s="731">
        <f>B67</f>
        <v>2019</v>
      </c>
      <c r="C73" s="732"/>
      <c r="D73" s="489">
        <f>D67</f>
        <v>2020</v>
      </c>
      <c r="E73" s="731">
        <f>E67</f>
        <v>2021</v>
      </c>
      <c r="F73" s="732"/>
    </row>
    <row r="74" spans="1:6" ht="12.75">
      <c r="A74" s="490" t="s">
        <v>428</v>
      </c>
      <c r="B74" s="491"/>
      <c r="C74" s="490"/>
      <c r="D74" s="491"/>
      <c r="E74" s="753"/>
      <c r="F74" s="754"/>
    </row>
    <row r="75" spans="1:6" ht="12.75">
      <c r="A75" s="438" t="s">
        <v>429</v>
      </c>
      <c r="B75" s="437"/>
      <c r="C75" s="438"/>
      <c r="D75" s="437"/>
      <c r="E75" s="755"/>
      <c r="F75" s="756"/>
    </row>
    <row r="76" spans="1:6" ht="12.75">
      <c r="A76" s="492" t="s">
        <v>430</v>
      </c>
      <c r="B76" s="493"/>
      <c r="C76" s="494"/>
      <c r="D76" s="493"/>
      <c r="E76" s="757"/>
      <c r="F76" s="758"/>
    </row>
    <row r="77" spans="1:2" ht="9" customHeight="1" thickBot="1">
      <c r="A77" s="495"/>
      <c r="B77" s="496"/>
    </row>
    <row r="78" spans="1:6" ht="15" customHeight="1">
      <c r="A78" s="759" t="s">
        <v>431</v>
      </c>
      <c r="B78" s="760"/>
      <c r="C78" s="760"/>
      <c r="D78" s="760"/>
      <c r="E78" s="760"/>
      <c r="F78" s="760"/>
    </row>
    <row r="79" spans="1:6" ht="12.75" customHeight="1">
      <c r="A79" s="497" t="s">
        <v>397</v>
      </c>
      <c r="B79" s="742">
        <f>B73</f>
        <v>2019</v>
      </c>
      <c r="C79" s="741"/>
      <c r="D79" s="432">
        <f>D73</f>
        <v>2020</v>
      </c>
      <c r="E79" s="749">
        <f>E73</f>
        <v>2021</v>
      </c>
      <c r="F79" s="749"/>
    </row>
    <row r="80" spans="1:4" ht="12.75">
      <c r="A80" s="428" t="s">
        <v>651</v>
      </c>
      <c r="B80" s="433"/>
      <c r="D80" s="435"/>
    </row>
    <row r="81" spans="1:4" ht="12.75">
      <c r="A81" s="436" t="s">
        <v>432</v>
      </c>
      <c r="B81" s="437"/>
      <c r="C81" s="438"/>
      <c r="D81" s="439"/>
    </row>
    <row r="82" spans="1:4" ht="12.75" customHeight="1">
      <c r="A82" s="440" t="s">
        <v>400</v>
      </c>
      <c r="B82" s="433"/>
      <c r="C82" s="438"/>
      <c r="D82" s="439"/>
    </row>
    <row r="83" spans="1:4" ht="12.75" customHeight="1">
      <c r="A83" s="441" t="s">
        <v>401</v>
      </c>
      <c r="B83" s="433"/>
      <c r="C83" s="438"/>
      <c r="D83" s="439"/>
    </row>
    <row r="84" spans="1:4" ht="12.75">
      <c r="A84" s="441" t="s">
        <v>402</v>
      </c>
      <c r="B84" s="433"/>
      <c r="C84" s="438"/>
      <c r="D84" s="439"/>
    </row>
    <row r="85" spans="1:4" ht="12.75">
      <c r="A85" s="441" t="s">
        <v>403</v>
      </c>
      <c r="B85" s="433"/>
      <c r="C85" s="438"/>
      <c r="D85" s="439"/>
    </row>
    <row r="86" spans="1:4" ht="12.75">
      <c r="A86" s="440" t="s">
        <v>404</v>
      </c>
      <c r="B86" s="433"/>
      <c r="C86" s="438"/>
      <c r="D86" s="439"/>
    </row>
    <row r="87" spans="1:4" ht="12.75">
      <c r="A87" s="441" t="s">
        <v>401</v>
      </c>
      <c r="B87" s="433"/>
      <c r="C87" s="438"/>
      <c r="D87" s="439"/>
    </row>
    <row r="88" spans="1:4" ht="12.75" customHeight="1">
      <c r="A88" s="441" t="s">
        <v>402</v>
      </c>
      <c r="B88" s="433"/>
      <c r="C88" s="438"/>
      <c r="D88" s="439"/>
    </row>
    <row r="89" spans="1:4" ht="12.75">
      <c r="A89" s="441" t="s">
        <v>403</v>
      </c>
      <c r="B89" s="433"/>
      <c r="C89" s="438"/>
      <c r="D89" s="439"/>
    </row>
    <row r="90" spans="1:4" ht="12.75">
      <c r="A90" s="436" t="s">
        <v>433</v>
      </c>
      <c r="B90" s="433"/>
      <c r="C90" s="438"/>
      <c r="D90" s="439"/>
    </row>
    <row r="91" spans="1:4" ht="12.75">
      <c r="A91" s="440" t="s">
        <v>400</v>
      </c>
      <c r="B91" s="433"/>
      <c r="C91" s="438"/>
      <c r="D91" s="439"/>
    </row>
    <row r="92" spans="1:4" ht="12.75">
      <c r="A92" s="441" t="s">
        <v>401</v>
      </c>
      <c r="B92" s="433"/>
      <c r="C92" s="438"/>
      <c r="D92" s="439"/>
    </row>
    <row r="93" spans="1:4" ht="12.75">
      <c r="A93" s="441" t="s">
        <v>402</v>
      </c>
      <c r="B93" s="433"/>
      <c r="C93" s="438"/>
      <c r="D93" s="439"/>
    </row>
    <row r="94" spans="1:4" ht="12.75">
      <c r="A94" s="441" t="s">
        <v>403</v>
      </c>
      <c r="B94" s="433"/>
      <c r="C94" s="438"/>
      <c r="D94" s="439"/>
    </row>
    <row r="95" spans="1:4" ht="12.75">
      <c r="A95" s="440" t="s">
        <v>404</v>
      </c>
      <c r="B95" s="433"/>
      <c r="C95" s="438"/>
      <c r="D95" s="439"/>
    </row>
    <row r="96" spans="1:4" ht="12.75">
      <c r="A96" s="441" t="s">
        <v>401</v>
      </c>
      <c r="B96" s="433"/>
      <c r="C96" s="438"/>
      <c r="D96" s="439"/>
    </row>
    <row r="97" spans="1:4" ht="12.75">
      <c r="A97" s="441" t="s">
        <v>402</v>
      </c>
      <c r="B97" s="433"/>
      <c r="C97" s="438"/>
      <c r="D97" s="439"/>
    </row>
    <row r="98" spans="1:4" ht="12.75">
      <c r="A98" s="441" t="s">
        <v>403</v>
      </c>
      <c r="B98" s="433"/>
      <c r="C98" s="438"/>
      <c r="D98" s="439"/>
    </row>
    <row r="99" spans="1:4" ht="12.75">
      <c r="A99" s="436" t="s">
        <v>233</v>
      </c>
      <c r="B99" s="433"/>
      <c r="C99" s="438"/>
      <c r="D99" s="439"/>
    </row>
    <row r="100" spans="1:4" ht="12.75">
      <c r="A100" s="440" t="s">
        <v>406</v>
      </c>
      <c r="B100" s="433"/>
      <c r="C100" s="438"/>
      <c r="D100" s="439"/>
    </row>
    <row r="101" spans="1:4" ht="12.75">
      <c r="A101" s="440" t="s">
        <v>407</v>
      </c>
      <c r="B101" s="433"/>
      <c r="C101" s="438"/>
      <c r="D101" s="439"/>
    </row>
    <row r="102" spans="1:4" ht="12.75">
      <c r="A102" s="440" t="s">
        <v>408</v>
      </c>
      <c r="B102" s="433"/>
      <c r="C102" s="438"/>
      <c r="D102" s="439"/>
    </row>
    <row r="103" spans="1:4" ht="12.75">
      <c r="A103" s="436" t="s">
        <v>255</v>
      </c>
      <c r="B103" s="433"/>
      <c r="C103" s="438"/>
      <c r="D103" s="439"/>
    </row>
    <row r="104" spans="1:4" ht="12.75">
      <c r="A104" s="436" t="s">
        <v>310</v>
      </c>
      <c r="B104" s="433"/>
      <c r="C104" s="438"/>
      <c r="D104" s="439"/>
    </row>
    <row r="105" spans="1:4" ht="12.75">
      <c r="A105" s="440" t="s">
        <v>409</v>
      </c>
      <c r="B105" s="433"/>
      <c r="C105" s="438"/>
      <c r="D105" s="439"/>
    </row>
    <row r="106" spans="1:4" ht="12.75">
      <c r="A106" s="440" t="s">
        <v>316</v>
      </c>
      <c r="B106" s="433"/>
      <c r="C106" s="438"/>
      <c r="D106" s="439"/>
    </row>
    <row r="107" spans="1:4" ht="12.75" customHeight="1">
      <c r="A107" s="428" t="s">
        <v>652</v>
      </c>
      <c r="B107" s="433"/>
      <c r="C107" s="438"/>
      <c r="D107" s="439"/>
    </row>
    <row r="108" spans="1:4" ht="12.75" customHeight="1">
      <c r="A108" s="436" t="s">
        <v>410</v>
      </c>
      <c r="B108" s="433"/>
      <c r="C108" s="438"/>
      <c r="D108" s="439"/>
    </row>
    <row r="109" spans="1:4" ht="12.75">
      <c r="A109" s="436" t="s">
        <v>335</v>
      </c>
      <c r="B109" s="433"/>
      <c r="C109" s="438"/>
      <c r="D109" s="439"/>
    </row>
    <row r="110" spans="1:4" ht="12.75" customHeight="1">
      <c r="A110" s="436" t="s">
        <v>346</v>
      </c>
      <c r="B110" s="433"/>
      <c r="C110" s="438"/>
      <c r="D110" s="439"/>
    </row>
    <row r="111" spans="1:6" ht="12.75" customHeight="1">
      <c r="A111" s="498" t="s">
        <v>653</v>
      </c>
      <c r="B111" s="499"/>
      <c r="C111" s="500"/>
      <c r="D111" s="501"/>
      <c r="E111" s="500"/>
      <c r="F111" s="500"/>
    </row>
    <row r="112" ht="8.25" customHeight="1"/>
    <row r="113" spans="1:6" ht="11.25" customHeight="1">
      <c r="A113" s="447" t="s">
        <v>411</v>
      </c>
      <c r="B113" s="750">
        <f>B79</f>
        <v>2019</v>
      </c>
      <c r="C113" s="749"/>
      <c r="D113" s="448">
        <f>D79</f>
        <v>2020</v>
      </c>
      <c r="E113" s="750">
        <f>E79</f>
        <v>2021</v>
      </c>
      <c r="F113" s="749"/>
    </row>
    <row r="114" spans="1:6" ht="11.25" customHeight="1">
      <c r="A114" s="436" t="s">
        <v>412</v>
      </c>
      <c r="B114" s="751"/>
      <c r="C114" s="752"/>
      <c r="D114" s="502"/>
      <c r="E114" s="751"/>
      <c r="F114" s="752"/>
    </row>
    <row r="115" spans="1:6" ht="11.25" customHeight="1">
      <c r="A115" s="449" t="s">
        <v>434</v>
      </c>
      <c r="B115" s="751"/>
      <c r="C115" s="752"/>
      <c r="D115" s="502"/>
      <c r="E115" s="751"/>
      <c r="F115" s="752"/>
    </row>
    <row r="116" spans="1:6" ht="11.25" customHeight="1">
      <c r="A116" s="449" t="s">
        <v>414</v>
      </c>
      <c r="B116" s="751"/>
      <c r="C116" s="752"/>
      <c r="D116" s="502"/>
      <c r="E116" s="751"/>
      <c r="F116" s="752"/>
    </row>
    <row r="117" spans="1:6" ht="11.25" customHeight="1">
      <c r="A117" s="449" t="s">
        <v>415</v>
      </c>
      <c r="B117" s="751"/>
      <c r="C117" s="752"/>
      <c r="D117" s="502"/>
      <c r="E117" s="751"/>
      <c r="F117" s="752"/>
    </row>
    <row r="118" spans="1:6" ht="11.25" customHeight="1">
      <c r="A118" s="436" t="s">
        <v>416</v>
      </c>
      <c r="B118" s="751"/>
      <c r="C118" s="752"/>
      <c r="D118" s="502"/>
      <c r="E118" s="751"/>
      <c r="F118" s="752"/>
    </row>
    <row r="119" spans="1:6" ht="11.25" customHeight="1">
      <c r="A119" s="449" t="s">
        <v>417</v>
      </c>
      <c r="B119" s="751"/>
      <c r="C119" s="752"/>
      <c r="D119" s="502"/>
      <c r="E119" s="751"/>
      <c r="F119" s="752"/>
    </row>
    <row r="120" spans="1:6" ht="11.25" customHeight="1">
      <c r="A120" s="449" t="s">
        <v>414</v>
      </c>
      <c r="B120" s="751"/>
      <c r="C120" s="752"/>
      <c r="D120" s="502"/>
      <c r="E120" s="751"/>
      <c r="F120" s="752"/>
    </row>
    <row r="121" spans="1:6" ht="11.25" customHeight="1">
      <c r="A121" s="449" t="s">
        <v>415</v>
      </c>
      <c r="B121" s="751"/>
      <c r="C121" s="752"/>
      <c r="D121" s="502"/>
      <c r="E121" s="751"/>
      <c r="F121" s="752"/>
    </row>
    <row r="122" spans="1:6" ht="11.25" customHeight="1">
      <c r="A122" s="450" t="s">
        <v>418</v>
      </c>
      <c r="B122" s="751"/>
      <c r="C122" s="752"/>
      <c r="D122" s="502"/>
      <c r="E122" s="751"/>
      <c r="F122" s="752"/>
    </row>
    <row r="123" spans="1:6" ht="11.25" customHeight="1">
      <c r="A123" s="449" t="s">
        <v>419</v>
      </c>
      <c r="B123" s="751"/>
      <c r="C123" s="752"/>
      <c r="D123" s="502"/>
      <c r="E123" s="751"/>
      <c r="F123" s="752"/>
    </row>
    <row r="124" spans="1:6" ht="11.25" customHeight="1">
      <c r="A124" s="449" t="s">
        <v>420</v>
      </c>
      <c r="B124" s="751"/>
      <c r="C124" s="752"/>
      <c r="D124" s="502"/>
      <c r="E124" s="751"/>
      <c r="F124" s="752"/>
    </row>
    <row r="125" spans="1:6" ht="11.25" customHeight="1">
      <c r="A125" s="451" t="s">
        <v>654</v>
      </c>
      <c r="B125" s="743"/>
      <c r="C125" s="744"/>
      <c r="D125" s="503"/>
      <c r="E125" s="745"/>
      <c r="F125" s="746"/>
    </row>
    <row r="126" spans="1:4" ht="11.25" customHeight="1">
      <c r="A126" s="455"/>
      <c r="B126" s="456"/>
      <c r="C126" s="457"/>
      <c r="D126" s="457"/>
    </row>
    <row r="127" spans="1:6" ht="12.75" customHeight="1">
      <c r="A127" s="458" t="s">
        <v>674</v>
      </c>
      <c r="B127" s="774"/>
      <c r="C127" s="775"/>
      <c r="D127" s="459"/>
      <c r="E127" s="747"/>
      <c r="F127" s="748"/>
    </row>
    <row r="128" spans="2:4" ht="11.25" customHeight="1">
      <c r="B128" s="472"/>
      <c r="C128" s="473"/>
      <c r="D128" s="473"/>
    </row>
    <row r="129" spans="1:6" ht="11.25" customHeight="1">
      <c r="A129" s="463" t="s">
        <v>435</v>
      </c>
      <c r="B129" s="741">
        <f>B113</f>
        <v>2019</v>
      </c>
      <c r="C129" s="741"/>
      <c r="D129" s="504">
        <f>D113</f>
        <v>2020</v>
      </c>
      <c r="E129" s="742">
        <f>E113</f>
        <v>2021</v>
      </c>
      <c r="F129" s="741"/>
    </row>
    <row r="130" spans="1:5" ht="11.25" customHeight="1">
      <c r="A130" s="475" t="s">
        <v>436</v>
      </c>
      <c r="B130" s="476"/>
      <c r="C130" s="477"/>
      <c r="D130" s="505"/>
      <c r="E130" s="505"/>
    </row>
    <row r="131" spans="1:6" ht="11.25" customHeight="1">
      <c r="A131" s="506" t="s">
        <v>437</v>
      </c>
      <c r="B131" s="483"/>
      <c r="C131" s="484"/>
      <c r="D131" s="507"/>
      <c r="E131" s="507"/>
      <c r="F131" s="486"/>
    </row>
    <row r="132" spans="1:6" ht="11.25" customHeight="1">
      <c r="A132" s="508"/>
      <c r="B132" s="509"/>
      <c r="C132" s="510"/>
      <c r="D132" s="510"/>
      <c r="E132" s="510"/>
      <c r="F132" s="511"/>
    </row>
    <row r="133" spans="1:6" ht="11.25" customHeight="1">
      <c r="A133" s="463" t="s">
        <v>655</v>
      </c>
      <c r="B133" s="741">
        <f>B129</f>
        <v>2019</v>
      </c>
      <c r="C133" s="741"/>
      <c r="D133" s="504">
        <f>D129</f>
        <v>2020</v>
      </c>
      <c r="E133" s="742">
        <f>E129</f>
        <v>2021</v>
      </c>
      <c r="F133" s="741"/>
    </row>
    <row r="134" spans="1:5" ht="11.25" customHeight="1">
      <c r="A134" s="475" t="s">
        <v>656</v>
      </c>
      <c r="B134" s="476"/>
      <c r="C134" s="477"/>
      <c r="D134" s="505"/>
      <c r="E134" s="512"/>
    </row>
    <row r="135" spans="1:6" ht="11.25" customHeight="1">
      <c r="A135" s="451" t="s">
        <v>657</v>
      </c>
      <c r="B135" s="743"/>
      <c r="C135" s="744"/>
      <c r="D135" s="503"/>
      <c r="E135" s="745"/>
      <c r="F135" s="746"/>
    </row>
    <row r="136" spans="1:6" ht="11.25" customHeight="1">
      <c r="A136" s="508"/>
      <c r="B136" s="509"/>
      <c r="C136" s="510"/>
      <c r="D136" s="510"/>
      <c r="E136" s="510"/>
      <c r="F136" s="511"/>
    </row>
    <row r="137" spans="1:6" ht="11.25" customHeight="1">
      <c r="A137" s="463" t="s">
        <v>658</v>
      </c>
      <c r="B137" s="741">
        <f>B133</f>
        <v>2019</v>
      </c>
      <c r="C137" s="741"/>
      <c r="D137" s="504">
        <f>D133</f>
        <v>2020</v>
      </c>
      <c r="E137" s="742">
        <f>E133</f>
        <v>2021</v>
      </c>
      <c r="F137" s="741"/>
    </row>
    <row r="138" spans="1:6" ht="11.25" customHeight="1">
      <c r="A138" s="513" t="s">
        <v>659</v>
      </c>
      <c r="B138" s="514"/>
      <c r="C138" s="515"/>
      <c r="D138" s="514"/>
      <c r="E138" s="514"/>
      <c r="F138" s="515"/>
    </row>
    <row r="139" spans="1:5" ht="11.25" customHeight="1">
      <c r="A139" s="475" t="s">
        <v>660</v>
      </c>
      <c r="B139" s="480"/>
      <c r="C139" s="477"/>
      <c r="D139" s="516"/>
      <c r="E139" s="507"/>
    </row>
    <row r="140" spans="1:6" ht="11.25" customHeight="1">
      <c r="A140" s="451" t="s">
        <v>661</v>
      </c>
      <c r="B140" s="743"/>
      <c r="C140" s="744"/>
      <c r="D140" s="503"/>
      <c r="E140" s="745"/>
      <c r="F140" s="746"/>
    </row>
    <row r="141" spans="1:6" ht="11.25" customHeight="1">
      <c r="A141" s="508"/>
      <c r="B141" s="509"/>
      <c r="C141" s="510"/>
      <c r="D141" s="510"/>
      <c r="E141" s="510"/>
      <c r="F141" s="511"/>
    </row>
    <row r="142" spans="1:6" ht="11.25" customHeight="1">
      <c r="A142" s="517" t="s">
        <v>662</v>
      </c>
      <c r="B142" s="743"/>
      <c r="C142" s="744"/>
      <c r="D142" s="503"/>
      <c r="E142" s="745"/>
      <c r="F142" s="746"/>
    </row>
    <row r="143" spans="1:6" ht="11.25" customHeight="1" thickBot="1">
      <c r="A143" s="508"/>
      <c r="B143" s="509"/>
      <c r="C143" s="510"/>
      <c r="D143" s="510"/>
      <c r="E143" s="510"/>
      <c r="F143" s="511"/>
    </row>
    <row r="144" spans="1:6" ht="19.5" customHeight="1" thickBot="1">
      <c r="A144" s="736" t="s">
        <v>438</v>
      </c>
      <c r="B144" s="736"/>
      <c r="C144" s="736"/>
      <c r="D144" s="736"/>
      <c r="E144" s="736"/>
      <c r="F144" s="736"/>
    </row>
    <row r="145" spans="1:6" ht="9.75" customHeight="1">
      <c r="A145" s="737"/>
      <c r="B145" s="738"/>
      <c r="C145" s="738"/>
      <c r="D145" s="738"/>
      <c r="E145" s="738"/>
      <c r="F145" s="738"/>
    </row>
    <row r="146" spans="1:10" ht="9.75" customHeight="1">
      <c r="A146" s="727" t="s">
        <v>396</v>
      </c>
      <c r="B146" s="728"/>
      <c r="C146" s="728"/>
      <c r="D146" s="728"/>
      <c r="E146" s="728"/>
      <c r="F146" s="728"/>
      <c r="G146" s="518"/>
      <c r="H146" s="518"/>
      <c r="I146" s="518"/>
      <c r="J146" s="518"/>
    </row>
    <row r="147" spans="1:6" ht="39" customHeight="1">
      <c r="A147" s="729" t="s">
        <v>98</v>
      </c>
      <c r="B147" s="519" t="s">
        <v>663</v>
      </c>
      <c r="C147" s="519" t="s">
        <v>675</v>
      </c>
      <c r="D147" s="519" t="s">
        <v>664</v>
      </c>
      <c r="E147" s="739" t="s">
        <v>665</v>
      </c>
      <c r="F147" s="740"/>
    </row>
    <row r="148" spans="1:6" ht="9.75" customHeight="1">
      <c r="A148" s="730"/>
      <c r="B148" s="527" t="s">
        <v>666</v>
      </c>
      <c r="C148" s="527" t="s">
        <v>66</v>
      </c>
      <c r="D148" s="527" t="s">
        <v>667</v>
      </c>
      <c r="E148" s="733" t="s">
        <v>668</v>
      </c>
      <c r="F148" s="734"/>
    </row>
    <row r="149" spans="1:5" ht="9.75" customHeight="1">
      <c r="A149" s="436"/>
      <c r="B149" s="439"/>
      <c r="C149" s="438"/>
      <c r="D149" s="437"/>
      <c r="E149" s="520"/>
    </row>
    <row r="150" spans="1:5" ht="9.75" customHeight="1">
      <c r="A150" s="440"/>
      <c r="B150" s="521"/>
      <c r="C150" s="438"/>
      <c r="D150" s="437"/>
      <c r="E150" s="433"/>
    </row>
    <row r="151" spans="1:6" ht="9.75" customHeight="1">
      <c r="A151" s="522"/>
      <c r="B151" s="523"/>
      <c r="C151" s="484"/>
      <c r="D151" s="507"/>
      <c r="E151" s="507"/>
      <c r="F151" s="486"/>
    </row>
    <row r="152" spans="1:6" ht="9.75" customHeight="1">
      <c r="A152" s="524"/>
      <c r="B152" s="524"/>
      <c r="C152" s="524"/>
      <c r="D152" s="524"/>
      <c r="E152" s="524"/>
      <c r="F152" s="524"/>
    </row>
    <row r="153" spans="1:10" ht="9.75" customHeight="1">
      <c r="A153" s="727" t="s">
        <v>431</v>
      </c>
      <c r="B153" s="728"/>
      <c r="C153" s="728"/>
      <c r="D153" s="728"/>
      <c r="E153" s="728"/>
      <c r="F153" s="728"/>
      <c r="G153" s="518"/>
      <c r="H153" s="518"/>
      <c r="I153" s="518"/>
      <c r="J153" s="518"/>
    </row>
    <row r="154" spans="1:6" ht="39.75" customHeight="1">
      <c r="A154" s="729" t="s">
        <v>98</v>
      </c>
      <c r="B154" s="489" t="s">
        <v>663</v>
      </c>
      <c r="C154" s="489" t="s">
        <v>675</v>
      </c>
      <c r="D154" s="489" t="s">
        <v>664</v>
      </c>
      <c r="E154" s="731" t="s">
        <v>665</v>
      </c>
      <c r="F154" s="732"/>
    </row>
    <row r="155" spans="1:6" ht="11.25" customHeight="1">
      <c r="A155" s="730"/>
      <c r="B155" s="527" t="s">
        <v>666</v>
      </c>
      <c r="C155" s="527" t="s">
        <v>66</v>
      </c>
      <c r="D155" s="527" t="s">
        <v>667</v>
      </c>
      <c r="E155" s="733" t="s">
        <v>668</v>
      </c>
      <c r="F155" s="734"/>
    </row>
    <row r="156" spans="1:5" ht="11.25" customHeight="1">
      <c r="A156" s="436"/>
      <c r="B156" s="439"/>
      <c r="C156" s="438"/>
      <c r="D156" s="437"/>
      <c r="E156" s="520"/>
    </row>
    <row r="157" spans="1:5" ht="11.25" customHeight="1">
      <c r="A157" s="440"/>
      <c r="B157" s="521"/>
      <c r="C157" s="438"/>
      <c r="D157" s="437"/>
      <c r="E157" s="433"/>
    </row>
    <row r="158" spans="1:6" ht="11.25" customHeight="1">
      <c r="A158" s="522"/>
      <c r="B158" s="523"/>
      <c r="C158" s="484"/>
      <c r="D158" s="507"/>
      <c r="E158" s="507"/>
      <c r="F158" s="486"/>
    </row>
    <row r="159" spans="1:6" ht="11.25" customHeight="1">
      <c r="A159" s="735" t="s">
        <v>439</v>
      </c>
      <c r="B159" s="735"/>
      <c r="C159" s="735"/>
      <c r="D159" s="735"/>
      <c r="E159" s="735"/>
      <c r="F159" s="735"/>
    </row>
    <row r="160" ht="11.25" customHeight="1">
      <c r="A160" s="428" t="s">
        <v>669</v>
      </c>
    </row>
    <row r="161" spans="1:11" ht="25.5" customHeight="1">
      <c r="A161" s="726" t="s">
        <v>670</v>
      </c>
      <c r="B161" s="726"/>
      <c r="C161" s="726"/>
      <c r="D161" s="726"/>
      <c r="E161" s="726"/>
      <c r="F161" s="726"/>
      <c r="G161" s="525"/>
      <c r="H161" s="525"/>
      <c r="I161" s="525"/>
      <c r="J161" s="525"/>
      <c r="K161" s="525"/>
    </row>
    <row r="162" spans="1:11" ht="23.25" customHeight="1">
      <c r="A162" s="726" t="s">
        <v>671</v>
      </c>
      <c r="B162" s="726"/>
      <c r="C162" s="726"/>
      <c r="D162" s="726"/>
      <c r="E162" s="726"/>
      <c r="F162" s="726"/>
      <c r="G162" s="526"/>
      <c r="H162" s="526"/>
      <c r="I162" s="526"/>
      <c r="J162" s="526"/>
      <c r="K162" s="526"/>
    </row>
  </sheetData>
  <sheetProtection/>
  <mergeCells count="67">
    <mergeCell ref="B57:C57"/>
    <mergeCell ref="B59:C59"/>
    <mergeCell ref="B73:C73"/>
    <mergeCell ref="B127:C127"/>
    <mergeCell ref="B125:C125"/>
    <mergeCell ref="B129:C129"/>
    <mergeCell ref="B67:C67"/>
    <mergeCell ref="A1:D1"/>
    <mergeCell ref="A2:D2"/>
    <mergeCell ref="A3:D3"/>
    <mergeCell ref="A4:D4"/>
    <mergeCell ref="A5:D5"/>
    <mergeCell ref="A7:D7"/>
    <mergeCell ref="E7:F7"/>
    <mergeCell ref="A8:F8"/>
    <mergeCell ref="A9:F9"/>
    <mergeCell ref="E10:F10"/>
    <mergeCell ref="E45:F45"/>
    <mergeCell ref="B46:C56"/>
    <mergeCell ref="D46:D56"/>
    <mergeCell ref="E46:F56"/>
    <mergeCell ref="B10:C10"/>
    <mergeCell ref="B45:C45"/>
    <mergeCell ref="E59:F59"/>
    <mergeCell ref="B61:C61"/>
    <mergeCell ref="E61:F61"/>
    <mergeCell ref="B62:F62"/>
    <mergeCell ref="B64:C64"/>
    <mergeCell ref="E64:F64"/>
    <mergeCell ref="E67:F67"/>
    <mergeCell ref="E73:F73"/>
    <mergeCell ref="E74:F74"/>
    <mergeCell ref="E75:F75"/>
    <mergeCell ref="E76:F76"/>
    <mergeCell ref="A78:F78"/>
    <mergeCell ref="E79:F79"/>
    <mergeCell ref="E113:F113"/>
    <mergeCell ref="B114:C124"/>
    <mergeCell ref="E114:F124"/>
    <mergeCell ref="E125:F125"/>
    <mergeCell ref="B113:C113"/>
    <mergeCell ref="B79:C79"/>
    <mergeCell ref="E127:F127"/>
    <mergeCell ref="E129:F129"/>
    <mergeCell ref="B133:C133"/>
    <mergeCell ref="E133:F133"/>
    <mergeCell ref="B135:C135"/>
    <mergeCell ref="E135:F135"/>
    <mergeCell ref="B137:C137"/>
    <mergeCell ref="E137:F137"/>
    <mergeCell ref="B140:C140"/>
    <mergeCell ref="E140:F140"/>
    <mergeCell ref="B142:C142"/>
    <mergeCell ref="E142:F142"/>
    <mergeCell ref="A144:F144"/>
    <mergeCell ref="A145:F145"/>
    <mergeCell ref="A146:F146"/>
    <mergeCell ref="A147:A148"/>
    <mergeCell ref="E147:F147"/>
    <mergeCell ref="E148:F148"/>
    <mergeCell ref="A162:F162"/>
    <mergeCell ref="A153:F153"/>
    <mergeCell ref="A154:A155"/>
    <mergeCell ref="E154:F154"/>
    <mergeCell ref="E155:F155"/>
    <mergeCell ref="A159:F159"/>
    <mergeCell ref="A161:F161"/>
  </mergeCells>
  <printOptions/>
  <pageMargins left="0.787401575" right="0.787401575" top="0.984251969" bottom="0.984251969" header="0.492125985" footer="0.492125985"/>
  <pageSetup fitToHeight="0" fitToWidth="1"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sheetPr codeName="Plan17">
    <pageSetUpPr fitToPage="1"/>
  </sheetPr>
  <dimension ref="A1:G26"/>
  <sheetViews>
    <sheetView zoomScale="90" zoomScaleNormal="90" zoomScalePageLayoutView="0" workbookViewId="0" topLeftCell="A1">
      <selection activeCell="D7" sqref="D7"/>
    </sheetView>
  </sheetViews>
  <sheetFormatPr defaultColWidth="9.140625" defaultRowHeight="12.75"/>
  <cols>
    <col min="1" max="1" width="22.421875" style="0" customWidth="1"/>
    <col min="2" max="2" width="15.7109375" style="0" customWidth="1"/>
    <col min="3" max="3" width="14.00390625" style="0" customWidth="1"/>
    <col min="4" max="6" width="12.8515625" style="0" customWidth="1"/>
    <col min="7" max="7" width="16.140625" style="0" customWidth="1"/>
  </cols>
  <sheetData>
    <row r="1" spans="1:7" ht="12.75">
      <c r="A1" s="794" t="str">
        <f>Parâmetros!A7</f>
        <v>Município de Barra do Quaraí</v>
      </c>
      <c r="B1" s="779"/>
      <c r="C1" s="779"/>
      <c r="D1" s="779"/>
      <c r="E1" s="779"/>
      <c r="F1" s="780"/>
      <c r="G1" s="108"/>
    </row>
    <row r="2" spans="1:7" ht="12.75">
      <c r="A2" s="795" t="s">
        <v>36</v>
      </c>
      <c r="B2" s="796"/>
      <c r="C2" s="796"/>
      <c r="D2" s="796"/>
      <c r="E2" s="796"/>
      <c r="F2" s="797"/>
      <c r="G2" s="11"/>
    </row>
    <row r="3" spans="1:7" ht="12.75">
      <c r="A3" s="778" t="s">
        <v>148</v>
      </c>
      <c r="B3" s="779"/>
      <c r="C3" s="779"/>
      <c r="D3" s="779"/>
      <c r="E3" s="779"/>
      <c r="F3" s="780"/>
      <c r="G3" s="108"/>
    </row>
    <row r="4" spans="1:7" ht="12.75">
      <c r="A4" s="798" t="s">
        <v>454</v>
      </c>
      <c r="B4" s="799"/>
      <c r="C4" s="799"/>
      <c r="D4" s="799"/>
      <c r="E4" s="799"/>
      <c r="F4" s="800"/>
      <c r="G4" s="108"/>
    </row>
    <row r="5" spans="1:7" ht="12.75">
      <c r="A5" s="798" t="s">
        <v>718</v>
      </c>
      <c r="B5" s="779"/>
      <c r="C5" s="779"/>
      <c r="D5" s="779"/>
      <c r="E5" s="779"/>
      <c r="F5" s="780"/>
      <c r="G5" s="11"/>
    </row>
    <row r="6" spans="1:7" ht="12.75">
      <c r="A6" s="778"/>
      <c r="B6" s="779"/>
      <c r="C6" s="779"/>
      <c r="D6" s="779"/>
      <c r="E6" s="779"/>
      <c r="F6" s="780"/>
      <c r="G6" s="108"/>
    </row>
    <row r="7" spans="1:7" s="42" customFormat="1" ht="11.25" customHeight="1">
      <c r="A7" s="218" t="s">
        <v>457</v>
      </c>
      <c r="B7" s="205"/>
      <c r="C7" s="205"/>
      <c r="D7" s="205"/>
      <c r="E7" s="205"/>
      <c r="F7" s="206"/>
      <c r="G7" s="207">
        <v>1</v>
      </c>
    </row>
    <row r="8" spans="1:7" s="43" customFormat="1" ht="11.25" customHeight="1">
      <c r="A8" s="781" t="s">
        <v>149</v>
      </c>
      <c r="B8" s="784" t="s">
        <v>150</v>
      </c>
      <c r="C8" s="787" t="s">
        <v>151</v>
      </c>
      <c r="D8" s="784" t="s">
        <v>99</v>
      </c>
      <c r="E8" s="790"/>
      <c r="F8" s="781"/>
      <c r="G8" s="787" t="s">
        <v>100</v>
      </c>
    </row>
    <row r="9" spans="1:7" s="43" customFormat="1" ht="11.25" customHeight="1">
      <c r="A9" s="782"/>
      <c r="B9" s="785"/>
      <c r="C9" s="788"/>
      <c r="D9" s="786"/>
      <c r="E9" s="791"/>
      <c r="F9" s="783"/>
      <c r="G9" s="788"/>
    </row>
    <row r="10" spans="1:7" s="42" customFormat="1" ht="24" customHeight="1">
      <c r="A10" s="783"/>
      <c r="B10" s="786"/>
      <c r="C10" s="789"/>
      <c r="D10" s="208">
        <f>Parâmetros!E10</f>
        <v>2023</v>
      </c>
      <c r="E10" s="208">
        <f>D10+1</f>
        <v>2024</v>
      </c>
      <c r="F10" s="208">
        <f>E10+1</f>
        <v>2025</v>
      </c>
      <c r="G10" s="789"/>
    </row>
    <row r="11" spans="1:7" s="42" customFormat="1" ht="26.25" customHeight="1">
      <c r="A11" s="544" t="s">
        <v>698</v>
      </c>
      <c r="B11" s="544" t="s">
        <v>714</v>
      </c>
      <c r="C11" s="544" t="s">
        <v>711</v>
      </c>
      <c r="D11" s="210">
        <v>20917</v>
      </c>
      <c r="E11" s="211">
        <f>D11*(1+B24)</f>
        <v>21962.850000000002</v>
      </c>
      <c r="F11" s="211">
        <f>E11*(1+B25)</f>
        <v>23060.992500000004</v>
      </c>
      <c r="G11" s="792" t="s">
        <v>153</v>
      </c>
    </row>
    <row r="12" spans="1:7" s="42" customFormat="1" ht="42" customHeight="1">
      <c r="A12" s="544" t="s">
        <v>712</v>
      </c>
      <c r="B12" s="544" t="s">
        <v>715</v>
      </c>
      <c r="C12" s="544" t="s">
        <v>711</v>
      </c>
      <c r="D12" s="210">
        <v>10500</v>
      </c>
      <c r="E12" s="211">
        <f>D12*(1+B24)</f>
        <v>11025</v>
      </c>
      <c r="F12" s="211">
        <f>E12*(1+B25)</f>
        <v>11576.25</v>
      </c>
      <c r="G12" s="793"/>
    </row>
    <row r="13" spans="1:7" s="42" customFormat="1" ht="45.75" customHeight="1">
      <c r="A13" s="544" t="s">
        <v>713</v>
      </c>
      <c r="B13" s="544" t="s">
        <v>715</v>
      </c>
      <c r="C13" s="544" t="s">
        <v>711</v>
      </c>
      <c r="D13" s="210">
        <v>0</v>
      </c>
      <c r="E13" s="211">
        <f>D13*(1+B24)</f>
        <v>0</v>
      </c>
      <c r="F13" s="211">
        <f>E13*(1+B25)</f>
        <v>0</v>
      </c>
      <c r="G13" s="212" t="s">
        <v>154</v>
      </c>
    </row>
    <row r="14" spans="1:7" s="42" customFormat="1" ht="11.25" customHeight="1">
      <c r="A14" s="209"/>
      <c r="B14" s="209"/>
      <c r="C14" s="209"/>
      <c r="D14" s="210"/>
      <c r="E14" s="211">
        <f>D14*(1+B24)</f>
        <v>0</v>
      </c>
      <c r="F14" s="211">
        <f>E14*(1+B25)</f>
        <v>0</v>
      </c>
      <c r="G14" s="212"/>
    </row>
    <row r="15" spans="1:7" s="42" customFormat="1" ht="11.25" customHeight="1">
      <c r="A15" s="209"/>
      <c r="B15" s="209"/>
      <c r="C15" s="209"/>
      <c r="D15" s="210"/>
      <c r="E15" s="211">
        <f>D15*(1+B24)</f>
        <v>0</v>
      </c>
      <c r="F15" s="211">
        <f>E15*(1+B25)</f>
        <v>0</v>
      </c>
      <c r="G15" s="212"/>
    </row>
    <row r="16" spans="1:7" s="42" customFormat="1" ht="11.25" customHeight="1">
      <c r="A16" s="209"/>
      <c r="B16" s="209"/>
      <c r="C16" s="209"/>
      <c r="D16" s="210"/>
      <c r="E16" s="211">
        <f>D16*(1+B24)</f>
        <v>0</v>
      </c>
      <c r="F16" s="211">
        <f>E16*(1+B25)</f>
        <v>0</v>
      </c>
      <c r="G16" s="212"/>
    </row>
    <row r="17" spans="1:7" s="42" customFormat="1" ht="11.25" customHeight="1">
      <c r="A17" s="213"/>
      <c r="B17" s="213"/>
      <c r="C17" s="213"/>
      <c r="D17" s="214"/>
      <c r="E17" s="211">
        <f>D17*(1+B24)</f>
        <v>0</v>
      </c>
      <c r="F17" s="211">
        <f>E17*(1+B25)</f>
        <v>0</v>
      </c>
      <c r="G17" s="215"/>
    </row>
    <row r="18" spans="1:7" s="42" customFormat="1" ht="11.25" customHeight="1">
      <c r="A18" s="776" t="s">
        <v>85</v>
      </c>
      <c r="B18" s="776"/>
      <c r="C18" s="777"/>
      <c r="D18" s="216">
        <f>SUM(D11:D17)</f>
        <v>31417</v>
      </c>
      <c r="E18" s="216">
        <f>SUM(E11:E17)</f>
        <v>32987.850000000006</v>
      </c>
      <c r="F18" s="216">
        <f>SUM(F11:F17)</f>
        <v>34637.24250000001</v>
      </c>
      <c r="G18" s="217" t="s">
        <v>152</v>
      </c>
    </row>
    <row r="19" spans="1:7" s="42" customFormat="1" ht="11.25" customHeight="1">
      <c r="A19" s="83" t="s">
        <v>205</v>
      </c>
      <c r="B19" s="45"/>
      <c r="C19" s="45"/>
      <c r="D19" s="45"/>
      <c r="E19" s="45"/>
      <c r="F19" s="45"/>
      <c r="G19" s="45"/>
    </row>
    <row r="20" spans="1:6" ht="12.75">
      <c r="A20" s="11" t="s">
        <v>690</v>
      </c>
      <c r="B20" s="44"/>
      <c r="C20" s="44"/>
      <c r="D20" s="44"/>
      <c r="E20" s="44"/>
      <c r="F20" s="44"/>
    </row>
    <row r="21" ht="12.75">
      <c r="A21" t="s">
        <v>136</v>
      </c>
    </row>
    <row r="22" ht="12.75">
      <c r="A22" s="11" t="s">
        <v>688</v>
      </c>
    </row>
    <row r="23" ht="12.75">
      <c r="A23" t="s">
        <v>139</v>
      </c>
    </row>
    <row r="24" spans="1:2" ht="12.75">
      <c r="A24" s="11" t="s">
        <v>594</v>
      </c>
      <c r="B24" s="39">
        <f>Parâmetros!F11</f>
        <v>0.05</v>
      </c>
    </row>
    <row r="25" spans="1:2" ht="12.75">
      <c r="A25" s="11" t="s">
        <v>689</v>
      </c>
      <c r="B25" s="39">
        <f>Parâmetros!G11</f>
        <v>0.05</v>
      </c>
    </row>
    <row r="26" ht="12.75">
      <c r="B26" s="39"/>
    </row>
  </sheetData>
  <sheetProtection/>
  <mergeCells count="13">
    <mergeCell ref="G8:G10"/>
    <mergeCell ref="G11:G12"/>
    <mergeCell ref="A1:F1"/>
    <mergeCell ref="A2:F2"/>
    <mergeCell ref="A3:F3"/>
    <mergeCell ref="A4:F4"/>
    <mergeCell ref="A18:C18"/>
    <mergeCell ref="A5:F5"/>
    <mergeCell ref="A6:F6"/>
    <mergeCell ref="A8:A10"/>
    <mergeCell ref="B8:B10"/>
    <mergeCell ref="C8:C10"/>
    <mergeCell ref="D8:F9"/>
  </mergeCells>
  <printOptions/>
  <pageMargins left="1" right="1" top="1" bottom="1" header="0.5" footer="0.5"/>
  <pageSetup fitToHeight="0" fitToWidth="1" horizontalDpi="300" verticalDpi="300" orientation="portrait" scale="72" r:id="rId2"/>
  <drawing r:id="rId1"/>
</worksheet>
</file>

<file path=xl/worksheets/sheet15.xml><?xml version="1.0" encoding="utf-8"?>
<worksheet xmlns="http://schemas.openxmlformats.org/spreadsheetml/2006/main" xmlns:r="http://schemas.openxmlformats.org/officeDocument/2006/relationships">
  <sheetPr codeName="Plan18">
    <pageSetUpPr fitToPage="1"/>
  </sheetPr>
  <dimension ref="A1:B31"/>
  <sheetViews>
    <sheetView zoomScale="90" zoomScaleNormal="90" zoomScalePageLayoutView="0" workbookViewId="0" topLeftCell="A1">
      <selection activeCell="B18" sqref="B18"/>
    </sheetView>
  </sheetViews>
  <sheetFormatPr defaultColWidth="9.140625" defaultRowHeight="12.75"/>
  <cols>
    <col min="1" max="1" width="55.57421875" style="11" customWidth="1"/>
    <col min="2" max="2" width="47.57421875" style="11" customWidth="1"/>
    <col min="3" max="16384" width="9.140625" style="11" customWidth="1"/>
  </cols>
  <sheetData>
    <row r="1" spans="1:2" ht="14.25">
      <c r="A1" s="722" t="str">
        <f>Parâmetros!A7</f>
        <v>Município de Barra do Quaraí</v>
      </c>
      <c r="B1" s="721"/>
    </row>
    <row r="2" spans="1:2" ht="14.25">
      <c r="A2" s="719" t="s">
        <v>36</v>
      </c>
      <c r="B2" s="721"/>
    </row>
    <row r="3" spans="1:2" ht="14.25">
      <c r="A3" s="719" t="s">
        <v>148</v>
      </c>
      <c r="B3" s="721"/>
    </row>
    <row r="4" spans="1:2" ht="15">
      <c r="A4" s="723" t="s">
        <v>455</v>
      </c>
      <c r="B4" s="725"/>
    </row>
    <row r="5" spans="1:2" ht="14.25">
      <c r="A5" s="719" t="s">
        <v>718</v>
      </c>
      <c r="B5" s="721"/>
    </row>
    <row r="6" spans="1:2" ht="14.25">
      <c r="A6" s="719"/>
      <c r="B6" s="721"/>
    </row>
    <row r="7" spans="1:2" ht="15">
      <c r="A7" s="219" t="s">
        <v>456</v>
      </c>
      <c r="B7" s="220">
        <v>1</v>
      </c>
    </row>
    <row r="8" spans="1:2" s="12" customFormat="1" ht="25.5" customHeight="1">
      <c r="A8" s="193" t="s">
        <v>101</v>
      </c>
      <c r="B8" s="376" t="s">
        <v>723</v>
      </c>
    </row>
    <row r="9" spans="1:2" ht="15">
      <c r="A9" s="221" t="s">
        <v>102</v>
      </c>
      <c r="B9" s="222">
        <f>(B10+B11)</f>
        <v>-1680544.92883111</v>
      </c>
    </row>
    <row r="10" spans="1:2" ht="14.25">
      <c r="A10" s="194" t="s">
        <v>132</v>
      </c>
      <c r="B10" s="196">
        <f>(Projeções!G9/(1+Parâmetros!E11))-(Projeções!F9*(1+Parâmetros!D11))</f>
        <v>-80418.54827166186</v>
      </c>
    </row>
    <row r="11" spans="1:2" ht="14.25">
      <c r="A11" s="194" t="s">
        <v>133</v>
      </c>
      <c r="B11" s="196">
        <f>(Projeções!G39/(1+Parâmetros!E11))-(Projeções!F39*(1+Parâmetros!D11))</f>
        <v>-1600126.3805594482</v>
      </c>
    </row>
    <row r="12" spans="1:2" ht="14.25">
      <c r="A12" s="194" t="s">
        <v>176</v>
      </c>
      <c r="B12" s="196">
        <v>0</v>
      </c>
    </row>
    <row r="13" spans="1:2" ht="14.25">
      <c r="A13" s="195" t="s">
        <v>141</v>
      </c>
      <c r="B13" s="196">
        <f>(Projeções!G110/(1+Parâmetros!E11)-(Projeções!F110*(1+Parâmetros!D11)))</f>
        <v>168092.89887791686</v>
      </c>
    </row>
    <row r="14" spans="1:2" ht="15">
      <c r="A14" s="223" t="s">
        <v>103</v>
      </c>
      <c r="B14" s="224">
        <f>B9+B13</f>
        <v>-1512452.0299531932</v>
      </c>
    </row>
    <row r="15" spans="1:2" ht="14.25">
      <c r="A15" s="195" t="s">
        <v>104</v>
      </c>
      <c r="B15" s="225">
        <v>0</v>
      </c>
    </row>
    <row r="16" spans="1:2" ht="15">
      <c r="A16" s="195" t="s">
        <v>105</v>
      </c>
      <c r="B16" s="224">
        <f>B14+B15</f>
        <v>-1512452.0299531932</v>
      </c>
    </row>
    <row r="17" spans="1:2" ht="14.25">
      <c r="A17" s="194" t="s">
        <v>106</v>
      </c>
      <c r="B17" s="196"/>
    </row>
    <row r="18" spans="1:2" ht="15">
      <c r="A18" s="223" t="s">
        <v>173</v>
      </c>
      <c r="B18" s="224">
        <f>B19+B20</f>
        <v>-2798309.637524754</v>
      </c>
    </row>
    <row r="19" spans="1:2" ht="14.25">
      <c r="A19" s="195" t="s">
        <v>134</v>
      </c>
      <c r="B19" s="196">
        <f>Projeções!G123/(1+Parâmetros!E11)-(Projeções!F123*(1+Parâmetros!D11))</f>
        <v>-1798151.5749913342</v>
      </c>
    </row>
    <row r="20" spans="1:2" ht="14.25">
      <c r="A20" s="195" t="s">
        <v>135</v>
      </c>
      <c r="B20" s="196">
        <f>Projeções!G135/(1+Parâmetros!E11)-Projeções!F135*(1+Parâmetros!D11)</f>
        <v>-1000158.0625334196</v>
      </c>
    </row>
    <row r="21" spans="1:2" ht="15">
      <c r="A21" s="223" t="s">
        <v>174</v>
      </c>
      <c r="B21" s="226">
        <v>0</v>
      </c>
    </row>
    <row r="22" spans="1:2" ht="21" customHeight="1">
      <c r="A22" s="223" t="s">
        <v>175</v>
      </c>
      <c r="B22" s="227">
        <f>IF(B16-B17-B18&lt;0,"SEM MARGEM",B16-B17-B18)</f>
        <v>1285857.6075715607</v>
      </c>
    </row>
    <row r="23" spans="1:2" ht="15">
      <c r="A23" s="801" t="s">
        <v>203</v>
      </c>
      <c r="B23" s="802"/>
    </row>
    <row r="24" ht="12.75">
      <c r="A24" s="7"/>
    </row>
    <row r="25" spans="1:2" ht="12.75">
      <c r="A25" s="57"/>
      <c r="B25" s="57"/>
    </row>
    <row r="26" ht="12.75">
      <c r="A26" s="57"/>
    </row>
    <row r="27" ht="12.75">
      <c r="A27" s="57"/>
    </row>
    <row r="28" ht="12.75">
      <c r="A28" s="57"/>
    </row>
    <row r="29" ht="12.75">
      <c r="A29" s="57"/>
    </row>
    <row r="30" ht="12.75">
      <c r="A30" s="57"/>
    </row>
    <row r="31" ht="12.75">
      <c r="A31" s="57"/>
    </row>
  </sheetData>
  <sheetProtection/>
  <mergeCells count="7">
    <mergeCell ref="A1:B1"/>
    <mergeCell ref="A2:B2"/>
    <mergeCell ref="A23:B23"/>
    <mergeCell ref="A3:B3"/>
    <mergeCell ref="A4:B4"/>
    <mergeCell ref="A5:B5"/>
    <mergeCell ref="A6:B6"/>
  </mergeCells>
  <printOptions/>
  <pageMargins left="0.787401575" right="0.787401575" top="0.984251969" bottom="0.984251969" header="0.492125985" footer="0.492125985"/>
  <pageSetup fitToHeight="0" fitToWidth="1" horizontalDpi="300" verticalDpi="3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B29"/>
  <sheetViews>
    <sheetView zoomScale="90" zoomScaleNormal="90" zoomScalePageLayoutView="0" workbookViewId="0" topLeftCell="A1">
      <selection activeCell="A5" sqref="A5:B5"/>
    </sheetView>
  </sheetViews>
  <sheetFormatPr defaultColWidth="9.140625" defaultRowHeight="12.75"/>
  <cols>
    <col min="1" max="1" width="49.140625" style="58" customWidth="1"/>
    <col min="2" max="2" width="44.7109375" style="58" customWidth="1"/>
    <col min="3" max="16384" width="9.140625" style="58" customWidth="1"/>
  </cols>
  <sheetData>
    <row r="1" spans="1:2" ht="14.25">
      <c r="A1" s="654" t="str">
        <f>Parâmetros!A7</f>
        <v>Município de Barra do Quaraí</v>
      </c>
      <c r="B1" s="653"/>
    </row>
    <row r="2" spans="1:2" ht="14.25">
      <c r="A2" s="651" t="s">
        <v>36</v>
      </c>
      <c r="B2" s="653"/>
    </row>
    <row r="3" spans="1:2" ht="14.25">
      <c r="A3" s="651" t="s">
        <v>148</v>
      </c>
      <c r="B3" s="653"/>
    </row>
    <row r="4" spans="1:2" ht="15">
      <c r="A4" s="655" t="s">
        <v>455</v>
      </c>
      <c r="B4" s="657"/>
    </row>
    <row r="5" spans="1:2" ht="14.25">
      <c r="A5" s="651" t="s">
        <v>718</v>
      </c>
      <c r="B5" s="653"/>
    </row>
    <row r="6" spans="1:2" ht="14.25">
      <c r="A6" s="651"/>
      <c r="B6" s="653"/>
    </row>
    <row r="7" spans="1:2" ht="28.5">
      <c r="A7" s="135" t="s">
        <v>456</v>
      </c>
      <c r="B7" s="138">
        <v>1</v>
      </c>
    </row>
    <row r="8" spans="1:2" s="59" customFormat="1" ht="25.5" customHeight="1">
      <c r="A8" s="139" t="s">
        <v>101</v>
      </c>
      <c r="B8" s="228" t="s">
        <v>613</v>
      </c>
    </row>
    <row r="9" spans="1:2" ht="15">
      <c r="A9" s="229" t="s">
        <v>102</v>
      </c>
      <c r="B9" s="230"/>
    </row>
    <row r="10" spans="1:2" ht="14.25">
      <c r="A10" s="231" t="s">
        <v>132</v>
      </c>
      <c r="B10" s="232"/>
    </row>
    <row r="11" spans="1:2" ht="14.25">
      <c r="A11" s="231" t="s">
        <v>133</v>
      </c>
      <c r="B11" s="232"/>
    </row>
    <row r="12" spans="1:2" ht="14.25">
      <c r="A12" s="233" t="s">
        <v>141</v>
      </c>
      <c r="B12" s="232"/>
    </row>
    <row r="13" spans="1:2" ht="30">
      <c r="A13" s="234" t="s">
        <v>103</v>
      </c>
      <c r="B13" s="235"/>
    </row>
    <row r="14" spans="1:2" ht="14.25">
      <c r="A14" s="233" t="s">
        <v>104</v>
      </c>
      <c r="B14" s="236"/>
    </row>
    <row r="15" spans="1:2" ht="15">
      <c r="A15" s="233" t="s">
        <v>105</v>
      </c>
      <c r="B15" s="235"/>
    </row>
    <row r="16" spans="1:2" ht="14.25">
      <c r="A16" s="231" t="s">
        <v>106</v>
      </c>
      <c r="B16" s="232"/>
    </row>
    <row r="17" spans="1:2" ht="15">
      <c r="A17" s="234" t="s">
        <v>107</v>
      </c>
      <c r="B17" s="235"/>
    </row>
    <row r="18" spans="1:2" ht="14.25">
      <c r="A18" s="233" t="s">
        <v>134</v>
      </c>
      <c r="B18" s="232"/>
    </row>
    <row r="19" spans="1:2" ht="14.25">
      <c r="A19" s="233" t="s">
        <v>135</v>
      </c>
      <c r="B19" s="232"/>
    </row>
    <row r="20" spans="1:2" ht="15">
      <c r="A20" s="234" t="s">
        <v>108</v>
      </c>
      <c r="B20" s="237">
        <f>IF(B15-B16-B17&lt;0,"SEM MARGEM",B15-B16-B17)</f>
        <v>0</v>
      </c>
    </row>
    <row r="21" spans="1:2" ht="11.25">
      <c r="A21" s="803" t="s">
        <v>118</v>
      </c>
      <c r="B21" s="804"/>
    </row>
    <row r="22" ht="11.25">
      <c r="A22" s="60"/>
    </row>
    <row r="23" spans="1:2" ht="11.25">
      <c r="A23" s="61"/>
      <c r="B23" s="61"/>
    </row>
    <row r="24" ht="11.25">
      <c r="A24" s="61"/>
    </row>
    <row r="25" ht="11.25">
      <c r="A25" s="61"/>
    </row>
    <row r="26" ht="11.25">
      <c r="A26" s="61"/>
    </row>
    <row r="27" ht="11.25">
      <c r="A27" s="61"/>
    </row>
    <row r="28" ht="11.25">
      <c r="A28" s="61"/>
    </row>
    <row r="29" ht="11.25">
      <c r="A29" s="61"/>
    </row>
  </sheetData>
  <sheetProtection/>
  <mergeCells count="7">
    <mergeCell ref="A5:B5"/>
    <mergeCell ref="A6:B6"/>
    <mergeCell ref="A21:B21"/>
    <mergeCell ref="A1:B1"/>
    <mergeCell ref="A2:B2"/>
    <mergeCell ref="A3:B3"/>
    <mergeCell ref="A4:B4"/>
  </mergeCells>
  <printOptions/>
  <pageMargins left="0.787401575" right="0.787401575" top="0.984251969" bottom="0.984251969" header="0.492125985" footer="0.492125985"/>
  <pageSetup horizontalDpi="300" verticalDpi="300" orientation="landscape"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H23" sqref="H23"/>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815" t="str">
        <f>Parâmetros!A7</f>
        <v>Município de Barra do Quaraí</v>
      </c>
      <c r="B1" s="813"/>
      <c r="C1" s="813"/>
      <c r="D1" s="813"/>
    </row>
    <row r="2" spans="1:4" ht="14.25">
      <c r="A2" s="813" t="s">
        <v>36</v>
      </c>
      <c r="B2" s="813"/>
      <c r="C2" s="813"/>
      <c r="D2" s="813"/>
    </row>
    <row r="3" spans="1:4" ht="14.25">
      <c r="A3" s="813" t="s">
        <v>156</v>
      </c>
      <c r="B3" s="813"/>
      <c r="C3" s="813"/>
      <c r="D3" s="813"/>
    </row>
    <row r="4" spans="1:4" ht="15">
      <c r="A4" s="812" t="s">
        <v>109</v>
      </c>
      <c r="B4" s="812"/>
      <c r="C4" s="812"/>
      <c r="D4" s="812"/>
    </row>
    <row r="5" spans="1:4" ht="15">
      <c r="A5" s="812" t="s">
        <v>718</v>
      </c>
      <c r="B5" s="813"/>
      <c r="C5" s="813"/>
      <c r="D5" s="813"/>
    </row>
    <row r="6" spans="1:4" ht="14.25">
      <c r="A6" s="814"/>
      <c r="B6" s="814"/>
      <c r="C6" s="814"/>
      <c r="D6" s="814"/>
    </row>
    <row r="7" spans="1:4" ht="14.25">
      <c r="A7" s="805" t="s">
        <v>461</v>
      </c>
      <c r="B7" s="805"/>
      <c r="C7" s="806">
        <v>1</v>
      </c>
      <c r="D7" s="806"/>
    </row>
    <row r="8" spans="1:4" ht="15">
      <c r="A8" s="808" t="s">
        <v>157</v>
      </c>
      <c r="B8" s="808"/>
      <c r="C8" s="808" t="s">
        <v>110</v>
      </c>
      <c r="D8" s="808"/>
    </row>
    <row r="9" spans="1:4" ht="15">
      <c r="A9" s="238" t="s">
        <v>111</v>
      </c>
      <c r="B9" s="238" t="s">
        <v>57</v>
      </c>
      <c r="C9" s="238" t="s">
        <v>111</v>
      </c>
      <c r="D9" s="238" t="s">
        <v>57</v>
      </c>
    </row>
    <row r="10" spans="1:4" ht="14.25">
      <c r="A10" s="239" t="s">
        <v>158</v>
      </c>
      <c r="B10" s="240">
        <v>100000</v>
      </c>
      <c r="C10" s="241" t="s">
        <v>696</v>
      </c>
      <c r="D10" s="240">
        <v>100000</v>
      </c>
    </row>
    <row r="11" spans="1:4" ht="28.5">
      <c r="A11" s="239" t="s">
        <v>159</v>
      </c>
      <c r="B11" s="240"/>
      <c r="C11" s="241"/>
      <c r="D11" s="240"/>
    </row>
    <row r="12" spans="1:4" ht="14.25">
      <c r="A12" s="239" t="s">
        <v>160</v>
      </c>
      <c r="B12" s="240"/>
      <c r="C12" s="241"/>
      <c r="D12" s="240"/>
    </row>
    <row r="13" spans="1:4" ht="14.25">
      <c r="A13" s="239" t="s">
        <v>161</v>
      </c>
      <c r="B13" s="240"/>
      <c r="C13" s="241"/>
      <c r="D13" s="240"/>
    </row>
    <row r="14" spans="1:4" ht="14.25">
      <c r="A14" s="239" t="s">
        <v>162</v>
      </c>
      <c r="B14" s="240">
        <v>0</v>
      </c>
      <c r="C14" s="241"/>
      <c r="D14" s="240"/>
    </row>
    <row r="15" spans="1:4" ht="14.25">
      <c r="A15" s="239" t="s">
        <v>163</v>
      </c>
      <c r="B15" s="240"/>
      <c r="C15" s="241"/>
      <c r="D15" s="240"/>
    </row>
    <row r="16" spans="1:4" ht="15">
      <c r="A16" s="242" t="s">
        <v>164</v>
      </c>
      <c r="B16" s="243">
        <f>SUM(B10:B15)</f>
        <v>100000</v>
      </c>
      <c r="C16" s="244" t="s">
        <v>164</v>
      </c>
      <c r="D16" s="245">
        <f>SUM(D10:D15)</f>
        <v>100000</v>
      </c>
    </row>
    <row r="17" spans="1:4" ht="14.25">
      <c r="A17" s="809"/>
      <c r="B17" s="809"/>
      <c r="C17" s="810"/>
      <c r="D17" s="811"/>
    </row>
    <row r="18" spans="1:4" ht="15">
      <c r="A18" s="807" t="s">
        <v>165</v>
      </c>
      <c r="B18" s="807"/>
      <c r="C18" s="808" t="s">
        <v>110</v>
      </c>
      <c r="D18" s="808"/>
    </row>
    <row r="19" spans="1:4" ht="15">
      <c r="A19" s="238" t="s">
        <v>111</v>
      </c>
      <c r="B19" s="238" t="s">
        <v>57</v>
      </c>
      <c r="C19" s="238" t="s">
        <v>111</v>
      </c>
      <c r="D19" s="238" t="s">
        <v>57</v>
      </c>
    </row>
    <row r="20" spans="1:4" ht="14.25">
      <c r="A20" s="239" t="s">
        <v>166</v>
      </c>
      <c r="B20" s="240"/>
      <c r="C20" s="241"/>
      <c r="D20" s="240"/>
    </row>
    <row r="21" spans="1:4" ht="14.25">
      <c r="A21" s="239" t="s">
        <v>167</v>
      </c>
      <c r="B21" s="240"/>
      <c r="C21" s="241"/>
      <c r="D21" s="240"/>
    </row>
    <row r="22" spans="1:4" ht="28.5">
      <c r="A22" s="239" t="s">
        <v>168</v>
      </c>
      <c r="B22" s="240">
        <v>200000</v>
      </c>
      <c r="C22" s="241" t="s">
        <v>697</v>
      </c>
      <c r="D22" s="240">
        <v>200000</v>
      </c>
    </row>
    <row r="23" spans="1:4" ht="14.25">
      <c r="A23" s="239" t="s">
        <v>169</v>
      </c>
      <c r="B23" s="240"/>
      <c r="C23" s="241"/>
      <c r="D23" s="240"/>
    </row>
    <row r="24" spans="1:4" ht="14.25">
      <c r="A24" s="239" t="s">
        <v>164</v>
      </c>
      <c r="B24" s="246">
        <f>SUM(B20:B23)</f>
        <v>200000</v>
      </c>
      <c r="C24" s="239" t="s">
        <v>164</v>
      </c>
      <c r="D24" s="246">
        <f>SUM(D20:D23)</f>
        <v>200000</v>
      </c>
    </row>
    <row r="25" spans="1:4" ht="15">
      <c r="A25" s="244" t="s">
        <v>85</v>
      </c>
      <c r="B25" s="245">
        <f>B16+B24</f>
        <v>300000</v>
      </c>
      <c r="C25" s="244" t="s">
        <v>85</v>
      </c>
      <c r="D25" s="245">
        <f>D16+D24</f>
        <v>300000</v>
      </c>
    </row>
  </sheetData>
  <sheetProtection/>
  <mergeCells count="14">
    <mergeCell ref="A5:D5"/>
    <mergeCell ref="A6:D6"/>
    <mergeCell ref="A1:D1"/>
    <mergeCell ref="A2:D2"/>
    <mergeCell ref="A3:D3"/>
    <mergeCell ref="A4:D4"/>
    <mergeCell ref="A7:B7"/>
    <mergeCell ref="C7:D7"/>
    <mergeCell ref="A18:B18"/>
    <mergeCell ref="C18:D18"/>
    <mergeCell ref="A8:B8"/>
    <mergeCell ref="C8:D8"/>
    <mergeCell ref="A17:B17"/>
    <mergeCell ref="C17:D17"/>
  </mergeCells>
  <printOptions/>
  <pageMargins left="0.787401575" right="0.787401575" top="0.984251969" bottom="0.984251969" header="0.492125985" footer="0.492125985"/>
  <pageSetup fitToHeight="0" fitToWidth="1" horizontalDpi="600" verticalDpi="600" orientation="portrait" scale="84" r:id="rId2"/>
  <drawing r:id="rId1"/>
</worksheet>
</file>

<file path=xl/worksheets/sheet18.xml><?xml version="1.0" encoding="utf-8"?>
<worksheet xmlns="http://schemas.openxmlformats.org/spreadsheetml/2006/main" xmlns:r="http://schemas.openxmlformats.org/officeDocument/2006/relationships">
  <dimension ref="A1:E35"/>
  <sheetViews>
    <sheetView zoomScalePageLayoutView="0" workbookViewId="0" topLeftCell="A55">
      <selection activeCell="E9" sqref="E9"/>
    </sheetView>
  </sheetViews>
  <sheetFormatPr defaultColWidth="9.140625" defaultRowHeight="12.75"/>
  <cols>
    <col min="2" max="2" width="50.00390625" style="0" customWidth="1"/>
    <col min="3" max="3" width="9.8515625" style="0" customWidth="1"/>
    <col min="4" max="4" width="12.00390625" style="0" customWidth="1"/>
    <col min="5" max="5" width="20.28125" style="0" customWidth="1"/>
  </cols>
  <sheetData>
    <row r="1" spans="1:5" ht="12.75">
      <c r="A1" s="827" t="s">
        <v>619</v>
      </c>
      <c r="B1" s="828"/>
      <c r="C1" s="828"/>
      <c r="D1" s="828"/>
      <c r="E1" s="829"/>
    </row>
    <row r="2" spans="1:5" ht="12.75">
      <c r="A2" s="830" t="s">
        <v>179</v>
      </c>
      <c r="B2" s="571"/>
      <c r="C2" s="571"/>
      <c r="D2" s="571"/>
      <c r="E2" s="831"/>
    </row>
    <row r="3" spans="1:5" ht="12.75">
      <c r="A3" s="67"/>
      <c r="B3" s="68"/>
      <c r="C3" s="68"/>
      <c r="D3" s="68"/>
      <c r="E3" s="69"/>
    </row>
    <row r="4" spans="1:5" ht="12.75">
      <c r="A4" s="832" t="s">
        <v>180</v>
      </c>
      <c r="B4" s="833"/>
      <c r="C4" s="68"/>
      <c r="D4" s="68"/>
      <c r="E4" s="69"/>
    </row>
    <row r="5" spans="1:5" ht="12.75">
      <c r="A5" s="832" t="s">
        <v>181</v>
      </c>
      <c r="B5" s="571"/>
      <c r="C5" s="68"/>
      <c r="D5" s="68"/>
      <c r="E5" s="69"/>
    </row>
    <row r="6" spans="1:5" ht="13.5" thickBot="1">
      <c r="A6" s="70"/>
      <c r="B6" s="71"/>
      <c r="C6" s="71"/>
      <c r="D6" s="71"/>
      <c r="E6" s="72"/>
    </row>
    <row r="7" spans="1:5" ht="12.75">
      <c r="A7" s="821" t="s">
        <v>182</v>
      </c>
      <c r="B7" s="73" t="s">
        <v>183</v>
      </c>
      <c r="C7" s="821" t="s">
        <v>184</v>
      </c>
      <c r="D7" s="824"/>
      <c r="E7" s="73"/>
    </row>
    <row r="8" spans="1:5" ht="12.75">
      <c r="A8" s="822"/>
      <c r="B8" s="74"/>
      <c r="C8" s="822"/>
      <c r="D8" s="825"/>
      <c r="E8" s="74">
        <v>2022</v>
      </c>
    </row>
    <row r="9" spans="1:5" ht="13.5" thickBot="1">
      <c r="A9" s="823"/>
      <c r="B9" s="75" t="s">
        <v>185</v>
      </c>
      <c r="C9" s="823"/>
      <c r="D9" s="826"/>
      <c r="E9" s="76"/>
    </row>
    <row r="10" spans="1:5" ht="12.75">
      <c r="A10" s="816"/>
      <c r="B10" s="816"/>
      <c r="C10" s="816"/>
      <c r="D10" s="77" t="s">
        <v>186</v>
      </c>
      <c r="E10" s="816"/>
    </row>
    <row r="11" spans="1:5" ht="13.5" thickBot="1">
      <c r="A11" s="817"/>
      <c r="B11" s="817"/>
      <c r="C11" s="817"/>
      <c r="D11" s="78" t="s">
        <v>57</v>
      </c>
      <c r="E11" s="817"/>
    </row>
    <row r="12" spans="1:5" ht="12.75">
      <c r="A12" s="816"/>
      <c r="B12" s="816"/>
      <c r="C12" s="816"/>
      <c r="D12" s="77" t="s">
        <v>186</v>
      </c>
      <c r="E12" s="816"/>
    </row>
    <row r="13" spans="1:5" ht="13.5" thickBot="1">
      <c r="A13" s="817"/>
      <c r="B13" s="817"/>
      <c r="C13" s="817"/>
      <c r="D13" s="78" t="s">
        <v>57</v>
      </c>
      <c r="E13" s="817"/>
    </row>
    <row r="14" spans="1:5" ht="12.75">
      <c r="A14" s="816"/>
      <c r="B14" s="816"/>
      <c r="C14" s="816"/>
      <c r="D14" s="77" t="s">
        <v>186</v>
      </c>
      <c r="E14" s="816"/>
    </row>
    <row r="15" spans="1:5" ht="13.5" thickBot="1">
      <c r="A15" s="817"/>
      <c r="B15" s="817"/>
      <c r="C15" s="817"/>
      <c r="D15" s="78" t="s">
        <v>57</v>
      </c>
      <c r="E15" s="817"/>
    </row>
    <row r="16" spans="1:5" ht="12.75">
      <c r="A16" s="816"/>
      <c r="B16" s="816"/>
      <c r="C16" s="816"/>
      <c r="D16" s="77" t="s">
        <v>186</v>
      </c>
      <c r="E16" s="816"/>
    </row>
    <row r="17" spans="1:5" ht="13.5" thickBot="1">
      <c r="A17" s="817"/>
      <c r="B17" s="817"/>
      <c r="C17" s="817"/>
      <c r="D17" s="78" t="s">
        <v>57</v>
      </c>
      <c r="E17" s="817"/>
    </row>
    <row r="18" spans="1:5" ht="12.75">
      <c r="A18" s="816"/>
      <c r="B18" s="816"/>
      <c r="C18" s="816"/>
      <c r="D18" s="77" t="s">
        <v>186</v>
      </c>
      <c r="E18" s="816"/>
    </row>
    <row r="19" spans="1:5" ht="13.5" thickBot="1">
      <c r="A19" s="817"/>
      <c r="B19" s="817"/>
      <c r="C19" s="817"/>
      <c r="D19" s="78" t="s">
        <v>57</v>
      </c>
      <c r="E19" s="817"/>
    </row>
    <row r="20" spans="1:5" ht="12.75">
      <c r="A20" s="816"/>
      <c r="B20" s="816"/>
      <c r="C20" s="816"/>
      <c r="D20" s="77" t="s">
        <v>186</v>
      </c>
      <c r="E20" s="816"/>
    </row>
    <row r="21" spans="1:5" ht="13.5" thickBot="1">
      <c r="A21" s="817"/>
      <c r="B21" s="817"/>
      <c r="C21" s="817"/>
      <c r="D21" s="78" t="s">
        <v>57</v>
      </c>
      <c r="E21" s="817"/>
    </row>
    <row r="22" spans="1:5" ht="12.75">
      <c r="A22" s="816"/>
      <c r="B22" s="816"/>
      <c r="C22" s="816"/>
      <c r="D22" s="77" t="s">
        <v>186</v>
      </c>
      <c r="E22" s="816"/>
    </row>
    <row r="23" spans="1:5" ht="13.5" thickBot="1">
      <c r="A23" s="817"/>
      <c r="B23" s="817"/>
      <c r="C23" s="817"/>
      <c r="D23" s="78" t="s">
        <v>57</v>
      </c>
      <c r="E23" s="817"/>
    </row>
    <row r="24" spans="1:5" ht="12.75">
      <c r="A24" s="816"/>
      <c r="B24" s="816"/>
      <c r="C24" s="816"/>
      <c r="D24" s="77" t="s">
        <v>186</v>
      </c>
      <c r="E24" s="816"/>
    </row>
    <row r="25" spans="1:5" ht="13.5" thickBot="1">
      <c r="A25" s="817"/>
      <c r="B25" s="817"/>
      <c r="C25" s="817"/>
      <c r="D25" s="78" t="s">
        <v>57</v>
      </c>
      <c r="E25" s="817"/>
    </row>
    <row r="26" spans="1:5" ht="12.75">
      <c r="A26" s="816"/>
      <c r="B26" s="816"/>
      <c r="C26" s="816"/>
      <c r="D26" s="77" t="s">
        <v>186</v>
      </c>
      <c r="E26" s="816"/>
    </row>
    <row r="27" spans="1:5" ht="13.5" thickBot="1">
      <c r="A27" s="817"/>
      <c r="B27" s="817"/>
      <c r="C27" s="817"/>
      <c r="D27" s="78" t="s">
        <v>57</v>
      </c>
      <c r="E27" s="817"/>
    </row>
    <row r="28" spans="1:5" ht="12.75">
      <c r="A28" s="816"/>
      <c r="B28" s="816"/>
      <c r="C28" s="816"/>
      <c r="D28" s="77" t="s">
        <v>186</v>
      </c>
      <c r="E28" s="816"/>
    </row>
    <row r="29" spans="1:5" ht="13.5" thickBot="1">
      <c r="A29" s="817"/>
      <c r="B29" s="817"/>
      <c r="C29" s="817"/>
      <c r="D29" s="78" t="s">
        <v>57</v>
      </c>
      <c r="E29" s="817"/>
    </row>
    <row r="30" spans="1:5" ht="12.75">
      <c r="A30" s="816"/>
      <c r="B30" s="816"/>
      <c r="C30" s="816"/>
      <c r="D30" s="77" t="s">
        <v>186</v>
      </c>
      <c r="E30" s="816"/>
    </row>
    <row r="31" spans="1:5" ht="13.5" thickBot="1">
      <c r="A31" s="817"/>
      <c r="B31" s="817"/>
      <c r="C31" s="817"/>
      <c r="D31" s="78" t="s">
        <v>57</v>
      </c>
      <c r="E31" s="817"/>
    </row>
    <row r="32" spans="1:5" ht="12.75">
      <c r="A32" s="816"/>
      <c r="B32" s="816"/>
      <c r="C32" s="816"/>
      <c r="D32" s="77" t="s">
        <v>186</v>
      </c>
      <c r="E32" s="816"/>
    </row>
    <row r="33" spans="1:5" ht="13.5" thickBot="1">
      <c r="A33" s="817"/>
      <c r="B33" s="817"/>
      <c r="C33" s="817"/>
      <c r="D33" s="77" t="s">
        <v>57</v>
      </c>
      <c r="E33" s="817"/>
    </row>
    <row r="34" spans="1:5" ht="13.5" thickBot="1">
      <c r="A34" s="818" t="s">
        <v>187</v>
      </c>
      <c r="B34" s="819"/>
      <c r="C34" s="819"/>
      <c r="D34" s="820"/>
      <c r="E34" s="79"/>
    </row>
    <row r="35" spans="1:2" ht="12.75">
      <c r="A35" s="80" t="s">
        <v>188</v>
      </c>
      <c r="B35" s="80" t="s">
        <v>189</v>
      </c>
    </row>
  </sheetData>
  <sheetProtection/>
  <mergeCells count="56">
    <mergeCell ref="A7:A9"/>
    <mergeCell ref="C7:C9"/>
    <mergeCell ref="D7:D9"/>
    <mergeCell ref="A1:E1"/>
    <mergeCell ref="A2:E2"/>
    <mergeCell ref="A4:B4"/>
    <mergeCell ref="A5:B5"/>
    <mergeCell ref="A10:A11"/>
    <mergeCell ref="B10:B11"/>
    <mergeCell ref="C10:C11"/>
    <mergeCell ref="E10:E11"/>
    <mergeCell ref="A12:A13"/>
    <mergeCell ref="B12:B13"/>
    <mergeCell ref="C12:C13"/>
    <mergeCell ref="E12:E13"/>
    <mergeCell ref="A14:A15"/>
    <mergeCell ref="B14:B15"/>
    <mergeCell ref="C14:C15"/>
    <mergeCell ref="E14:E15"/>
    <mergeCell ref="A16:A17"/>
    <mergeCell ref="B16:B17"/>
    <mergeCell ref="C16:C17"/>
    <mergeCell ref="E16:E17"/>
    <mergeCell ref="A18:A19"/>
    <mergeCell ref="B18:B19"/>
    <mergeCell ref="C18:C19"/>
    <mergeCell ref="E18:E19"/>
    <mergeCell ref="A20:A21"/>
    <mergeCell ref="B20:B21"/>
    <mergeCell ref="C20:C21"/>
    <mergeCell ref="E20:E21"/>
    <mergeCell ref="A22:A23"/>
    <mergeCell ref="B22:B23"/>
    <mergeCell ref="C22:C23"/>
    <mergeCell ref="E22:E23"/>
    <mergeCell ref="A24:A25"/>
    <mergeCell ref="B24:B25"/>
    <mergeCell ref="C24:C25"/>
    <mergeCell ref="E24:E25"/>
    <mergeCell ref="A26:A27"/>
    <mergeCell ref="B26:B27"/>
    <mergeCell ref="C26:C27"/>
    <mergeCell ref="E26:E27"/>
    <mergeCell ref="A28:A29"/>
    <mergeCell ref="B28:B29"/>
    <mergeCell ref="C28:C29"/>
    <mergeCell ref="E28:E29"/>
    <mergeCell ref="E32:E33"/>
    <mergeCell ref="A30:A31"/>
    <mergeCell ref="B30:B31"/>
    <mergeCell ref="C30:C31"/>
    <mergeCell ref="E30:E31"/>
    <mergeCell ref="A34:D34"/>
    <mergeCell ref="A32:A33"/>
    <mergeCell ref="B32:B33"/>
    <mergeCell ref="C32:C33"/>
  </mergeCells>
  <printOptions/>
  <pageMargins left="0.787401575" right="0.787401575" top="0.984251969" bottom="0.984251969" header="0.492125985" footer="0.49212598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N30"/>
  <sheetViews>
    <sheetView tabSelected="1" zoomScalePageLayoutView="0" workbookViewId="0" topLeftCell="A1">
      <selection activeCell="A3" sqref="A3:L3"/>
    </sheetView>
  </sheetViews>
  <sheetFormatPr defaultColWidth="9.140625" defaultRowHeight="12.75"/>
  <cols>
    <col min="1" max="1" width="19.7109375" style="0" customWidth="1"/>
    <col min="2" max="2" width="22.7109375" style="0" customWidth="1"/>
    <col min="3" max="3" width="12.28125" style="0" customWidth="1"/>
    <col min="4" max="4" width="13.140625" style="0" customWidth="1"/>
    <col min="5" max="5" width="11.28125" style="0" customWidth="1"/>
    <col min="6" max="6" width="12.421875" style="0" customWidth="1"/>
    <col min="7" max="7" width="11.8515625" style="0" customWidth="1"/>
    <col min="8" max="8" width="11.57421875" style="0" customWidth="1"/>
    <col min="10" max="10" width="4.140625" style="0" customWidth="1"/>
    <col min="11" max="11" width="3.7109375" style="0" hidden="1" customWidth="1"/>
    <col min="12" max="12" width="13.140625" style="0" customWidth="1"/>
  </cols>
  <sheetData>
    <row r="1" spans="1:12" ht="12.75">
      <c r="A1" s="862" t="s">
        <v>720</v>
      </c>
      <c r="B1" s="863"/>
      <c r="C1" s="863"/>
      <c r="D1" s="863"/>
      <c r="E1" s="863"/>
      <c r="F1" s="863"/>
      <c r="G1" s="863"/>
      <c r="H1" s="863"/>
      <c r="I1" s="863"/>
      <c r="J1" s="863"/>
      <c r="K1" s="863"/>
      <c r="L1" s="864"/>
    </row>
    <row r="2" spans="1:12" ht="13.5" thickBot="1">
      <c r="A2" s="865"/>
      <c r="B2" s="866"/>
      <c r="C2" s="866"/>
      <c r="D2" s="866"/>
      <c r="E2" s="866"/>
      <c r="F2" s="866"/>
      <c r="G2" s="866"/>
      <c r="H2" s="866"/>
      <c r="I2" s="866"/>
      <c r="J2" s="866"/>
      <c r="K2" s="866"/>
      <c r="L2" s="867"/>
    </row>
    <row r="3" spans="1:12" ht="15.75">
      <c r="A3" s="862" t="s">
        <v>614</v>
      </c>
      <c r="B3" s="868"/>
      <c r="C3" s="868"/>
      <c r="D3" s="868"/>
      <c r="E3" s="868"/>
      <c r="F3" s="868"/>
      <c r="G3" s="868"/>
      <c r="H3" s="868"/>
      <c r="I3" s="868"/>
      <c r="J3" s="868"/>
      <c r="K3" s="868"/>
      <c r="L3" s="869"/>
    </row>
    <row r="4" spans="1:12" ht="15.75">
      <c r="A4" s="870" t="s">
        <v>190</v>
      </c>
      <c r="B4" s="871"/>
      <c r="C4" s="871"/>
      <c r="D4" s="871"/>
      <c r="E4" s="871"/>
      <c r="F4" s="871"/>
      <c r="G4" s="871"/>
      <c r="H4" s="871"/>
      <c r="I4" s="871"/>
      <c r="J4" s="871"/>
      <c r="K4" s="871"/>
      <c r="L4" s="872"/>
    </row>
    <row r="5" spans="1:12" ht="16.5" thickBot="1">
      <c r="A5" s="873" t="s">
        <v>191</v>
      </c>
      <c r="B5" s="874"/>
      <c r="C5" s="874"/>
      <c r="D5" s="874"/>
      <c r="E5" s="874"/>
      <c r="F5" s="874"/>
      <c r="G5" s="874"/>
      <c r="H5" s="874"/>
      <c r="I5" s="874"/>
      <c r="J5" s="874"/>
      <c r="K5" s="874"/>
      <c r="L5" s="875"/>
    </row>
    <row r="6" spans="1:12" ht="15.75" thickBot="1">
      <c r="A6" s="851" t="s">
        <v>192</v>
      </c>
      <c r="B6" s="852"/>
      <c r="C6" s="852"/>
      <c r="D6" s="852"/>
      <c r="E6" s="852"/>
      <c r="F6" s="852"/>
      <c r="G6" s="852"/>
      <c r="H6" s="852"/>
      <c r="I6" s="852"/>
      <c r="J6" s="852"/>
      <c r="K6" s="852"/>
      <c r="L6" s="853"/>
    </row>
    <row r="7" spans="1:12" ht="13.5" thickBot="1">
      <c r="A7" s="854"/>
      <c r="B7" s="855"/>
      <c r="C7" s="81"/>
      <c r="D7" s="81"/>
      <c r="E7" s="856" t="s">
        <v>193</v>
      </c>
      <c r="F7" s="857"/>
      <c r="G7" s="858"/>
      <c r="H7" s="856" t="s">
        <v>618</v>
      </c>
      <c r="I7" s="857"/>
      <c r="J7" s="857"/>
      <c r="K7" s="857"/>
      <c r="L7" s="858"/>
    </row>
    <row r="8" spans="1:12" ht="12.75">
      <c r="A8" s="845" t="s">
        <v>194</v>
      </c>
      <c r="B8" s="847"/>
      <c r="C8" s="843" t="s">
        <v>195</v>
      </c>
      <c r="D8" s="843" t="s">
        <v>196</v>
      </c>
      <c r="E8" s="843" t="s">
        <v>615</v>
      </c>
      <c r="F8" s="843" t="s">
        <v>616</v>
      </c>
      <c r="G8" s="843" t="s">
        <v>617</v>
      </c>
      <c r="H8" s="843" t="s">
        <v>197</v>
      </c>
      <c r="I8" s="845" t="s">
        <v>202</v>
      </c>
      <c r="J8" s="846"/>
      <c r="K8" s="847"/>
      <c r="L8" s="843" t="s">
        <v>198</v>
      </c>
    </row>
    <row r="9" spans="1:12" ht="29.25" customHeight="1" thickBot="1">
      <c r="A9" s="860"/>
      <c r="B9" s="861"/>
      <c r="C9" s="844"/>
      <c r="D9" s="844"/>
      <c r="E9" s="844"/>
      <c r="F9" s="844"/>
      <c r="G9" s="844"/>
      <c r="H9" s="876"/>
      <c r="I9" s="848"/>
      <c r="J9" s="849"/>
      <c r="K9" s="850"/>
      <c r="L9" s="876"/>
    </row>
    <row r="10" spans="1:12" ht="13.5" thickBot="1">
      <c r="A10" s="835" t="s">
        <v>703</v>
      </c>
      <c r="B10" s="836"/>
      <c r="C10" s="198"/>
      <c r="D10" s="199">
        <v>32041.2</v>
      </c>
      <c r="E10" s="200" t="s">
        <v>13</v>
      </c>
      <c r="F10" s="200">
        <v>1</v>
      </c>
      <c r="G10" s="334"/>
      <c r="H10" s="335"/>
      <c r="I10" s="859"/>
      <c r="J10" s="859"/>
      <c r="K10" s="859"/>
      <c r="L10" s="335"/>
    </row>
    <row r="11" spans="1:12" ht="13.5" thickBot="1">
      <c r="A11" s="835" t="s">
        <v>704</v>
      </c>
      <c r="B11" s="836"/>
      <c r="C11" s="201"/>
      <c r="D11" s="202">
        <v>55360.6</v>
      </c>
      <c r="E11" s="200"/>
      <c r="F11" s="200">
        <v>1</v>
      </c>
      <c r="G11" s="334"/>
      <c r="H11" s="290"/>
      <c r="I11" s="834"/>
      <c r="J11" s="834"/>
      <c r="K11" s="834"/>
      <c r="L11" s="290"/>
    </row>
    <row r="12" spans="1:12" ht="13.5" thickBot="1">
      <c r="A12" s="835" t="s">
        <v>705</v>
      </c>
      <c r="B12" s="836"/>
      <c r="C12" s="203"/>
      <c r="D12" s="202">
        <v>120835.23</v>
      </c>
      <c r="E12" s="200"/>
      <c r="F12" s="200">
        <v>1</v>
      </c>
      <c r="G12" s="334"/>
      <c r="H12" s="290"/>
      <c r="I12" s="834"/>
      <c r="J12" s="834"/>
      <c r="K12" s="834"/>
      <c r="L12" s="290"/>
    </row>
    <row r="13" spans="1:12" ht="13.5" thickBot="1">
      <c r="A13" s="835" t="s">
        <v>706</v>
      </c>
      <c r="B13" s="836"/>
      <c r="C13" s="203">
        <v>44382</v>
      </c>
      <c r="D13" s="202">
        <v>133790.74</v>
      </c>
      <c r="E13" s="200"/>
      <c r="F13" s="200">
        <v>1</v>
      </c>
      <c r="G13" s="334"/>
      <c r="H13" s="290"/>
      <c r="I13" s="834"/>
      <c r="J13" s="834"/>
      <c r="K13" s="834"/>
      <c r="L13" s="290"/>
    </row>
    <row r="14" spans="1:12" ht="27" customHeight="1" thickBot="1">
      <c r="A14" s="835" t="s">
        <v>707</v>
      </c>
      <c r="B14" s="836"/>
      <c r="C14" s="533">
        <v>44326</v>
      </c>
      <c r="D14" s="202">
        <v>39751</v>
      </c>
      <c r="E14" s="200"/>
      <c r="F14" s="200">
        <v>1</v>
      </c>
      <c r="G14" s="334"/>
      <c r="H14" s="290"/>
      <c r="I14" s="834"/>
      <c r="J14" s="834"/>
      <c r="K14" s="834"/>
      <c r="L14" s="290"/>
    </row>
    <row r="15" spans="1:12" ht="13.5" thickBot="1">
      <c r="A15" s="835"/>
      <c r="B15" s="836"/>
      <c r="C15" s="203"/>
      <c r="D15" s="202"/>
      <c r="E15" s="200"/>
      <c r="F15" s="200"/>
      <c r="G15" s="334"/>
      <c r="H15" s="290"/>
      <c r="I15" s="834"/>
      <c r="J15" s="834"/>
      <c r="K15" s="834"/>
      <c r="L15" s="290"/>
    </row>
    <row r="16" spans="1:12" ht="13.5" thickBot="1">
      <c r="A16" s="835"/>
      <c r="B16" s="836"/>
      <c r="C16" s="201"/>
      <c r="D16" s="202"/>
      <c r="E16" s="200"/>
      <c r="F16" s="200"/>
      <c r="G16" s="334"/>
      <c r="H16" s="290"/>
      <c r="I16" s="834"/>
      <c r="J16" s="834"/>
      <c r="K16" s="834"/>
      <c r="L16" s="290"/>
    </row>
    <row r="17" spans="1:12" ht="13.5" thickBot="1">
      <c r="A17" s="835"/>
      <c r="B17" s="836"/>
      <c r="C17" s="201"/>
      <c r="D17" s="202"/>
      <c r="E17" s="200"/>
      <c r="F17" s="200"/>
      <c r="G17" s="334"/>
      <c r="H17" s="290"/>
      <c r="I17" s="834"/>
      <c r="J17" s="834"/>
      <c r="K17" s="834"/>
      <c r="L17" s="290"/>
    </row>
    <row r="18" spans="1:12" ht="13.5" thickBot="1">
      <c r="A18" s="835"/>
      <c r="B18" s="836"/>
      <c r="C18" s="201"/>
      <c r="D18" s="202"/>
      <c r="E18" s="200"/>
      <c r="F18" s="200"/>
      <c r="G18" s="334"/>
      <c r="H18" s="290"/>
      <c r="I18" s="834"/>
      <c r="J18" s="834"/>
      <c r="K18" s="834"/>
      <c r="L18" s="290"/>
    </row>
    <row r="19" spans="1:12" ht="13.5" thickBot="1">
      <c r="A19" s="835"/>
      <c r="B19" s="836"/>
      <c r="C19" s="201"/>
      <c r="D19" s="202"/>
      <c r="E19" s="200"/>
      <c r="F19" s="200"/>
      <c r="G19" s="334"/>
      <c r="H19" s="290"/>
      <c r="I19" s="834"/>
      <c r="J19" s="834"/>
      <c r="K19" s="834"/>
      <c r="L19" s="290"/>
    </row>
    <row r="20" spans="1:12" ht="13.5" thickBot="1">
      <c r="A20" s="835"/>
      <c r="B20" s="836"/>
      <c r="C20" s="201"/>
      <c r="D20" s="202"/>
      <c r="E20" s="200"/>
      <c r="F20" s="200"/>
      <c r="G20" s="334"/>
      <c r="H20" s="290"/>
      <c r="I20" s="834"/>
      <c r="J20" s="834"/>
      <c r="K20" s="834"/>
      <c r="L20" s="290"/>
    </row>
    <row r="21" spans="1:12" ht="13.5" thickBot="1">
      <c r="A21" s="835"/>
      <c r="B21" s="836"/>
      <c r="C21" s="201"/>
      <c r="D21" s="202"/>
      <c r="E21" s="200"/>
      <c r="F21" s="200"/>
      <c r="G21" s="334"/>
      <c r="H21" s="290"/>
      <c r="I21" s="834"/>
      <c r="J21" s="834"/>
      <c r="K21" s="834"/>
      <c r="L21" s="290"/>
    </row>
    <row r="22" spans="1:12" ht="13.5" thickBot="1">
      <c r="A22" s="835"/>
      <c r="B22" s="836"/>
      <c r="C22" s="201"/>
      <c r="D22" s="202"/>
      <c r="E22" s="200"/>
      <c r="F22" s="200"/>
      <c r="G22" s="334"/>
      <c r="H22" s="290"/>
      <c r="I22" s="834"/>
      <c r="J22" s="834"/>
      <c r="K22" s="834"/>
      <c r="L22" s="290"/>
    </row>
    <row r="23" spans="1:12" ht="13.5" thickBot="1">
      <c r="A23" s="835"/>
      <c r="B23" s="836"/>
      <c r="C23" s="201"/>
      <c r="D23" s="202"/>
      <c r="E23" s="200"/>
      <c r="F23" s="200"/>
      <c r="G23" s="334"/>
      <c r="H23" s="290"/>
      <c r="I23" s="834"/>
      <c r="J23" s="834"/>
      <c r="K23" s="834"/>
      <c r="L23" s="290"/>
    </row>
    <row r="24" spans="1:12" ht="13.5" thickBot="1">
      <c r="A24" s="835"/>
      <c r="B24" s="836"/>
      <c r="C24" s="201"/>
      <c r="D24" s="202"/>
      <c r="E24" s="200"/>
      <c r="F24" s="200"/>
      <c r="G24" s="334"/>
      <c r="H24" s="290"/>
      <c r="I24" s="834"/>
      <c r="J24" s="834"/>
      <c r="K24" s="834"/>
      <c r="L24" s="290"/>
    </row>
    <row r="25" spans="1:12" ht="13.5" thickBot="1">
      <c r="A25" s="835"/>
      <c r="B25" s="836"/>
      <c r="C25" s="201"/>
      <c r="D25" s="202"/>
      <c r="E25" s="200"/>
      <c r="F25" s="200"/>
      <c r="G25" s="334"/>
      <c r="H25" s="290"/>
      <c r="I25" s="834"/>
      <c r="J25" s="834"/>
      <c r="K25" s="834"/>
      <c r="L25" s="290"/>
    </row>
    <row r="26" spans="1:12" ht="13.5" thickBot="1">
      <c r="A26" s="835"/>
      <c r="B26" s="836"/>
      <c r="C26" s="201"/>
      <c r="D26" s="202"/>
      <c r="E26" s="200"/>
      <c r="F26" s="200"/>
      <c r="G26" s="334"/>
      <c r="H26" s="290"/>
      <c r="I26" s="834"/>
      <c r="J26" s="834"/>
      <c r="K26" s="834"/>
      <c r="L26" s="290"/>
    </row>
    <row r="27" spans="1:12" ht="13.5" thickBot="1">
      <c r="A27" s="837" t="s">
        <v>199</v>
      </c>
      <c r="B27" s="838"/>
      <c r="C27" s="838"/>
      <c r="D27" s="838"/>
      <c r="E27" s="838"/>
      <c r="F27" s="838"/>
      <c r="G27" s="839"/>
      <c r="H27" s="197">
        <f>SUM(H10:H26)</f>
        <v>0</v>
      </c>
      <c r="I27" s="840">
        <v>0</v>
      </c>
      <c r="J27" s="841"/>
      <c r="K27" s="842"/>
      <c r="L27" s="197">
        <f>SUM(L10:L26)</f>
        <v>0</v>
      </c>
    </row>
    <row r="30" ht="12.75">
      <c r="N30" s="204"/>
    </row>
  </sheetData>
  <sheetProtection/>
  <mergeCells count="53">
    <mergeCell ref="A1:L2"/>
    <mergeCell ref="A3:L3"/>
    <mergeCell ref="A4:L4"/>
    <mergeCell ref="A5:L5"/>
    <mergeCell ref="I11:K11"/>
    <mergeCell ref="L8:L9"/>
    <mergeCell ref="F8:F9"/>
    <mergeCell ref="H7:L7"/>
    <mergeCell ref="D8:D9"/>
    <mergeCell ref="H8:H9"/>
    <mergeCell ref="A19:B19"/>
    <mergeCell ref="I19:K19"/>
    <mergeCell ref="A16:B16"/>
    <mergeCell ref="I16:K16"/>
    <mergeCell ref="A17:B17"/>
    <mergeCell ref="I17:K17"/>
    <mergeCell ref="I18:K18"/>
    <mergeCell ref="A18:B18"/>
    <mergeCell ref="A15:B15"/>
    <mergeCell ref="I15:K15"/>
    <mergeCell ref="A6:L6"/>
    <mergeCell ref="A7:B7"/>
    <mergeCell ref="E7:G7"/>
    <mergeCell ref="A10:B10"/>
    <mergeCell ref="I10:K10"/>
    <mergeCell ref="E8:E9"/>
    <mergeCell ref="A8:B9"/>
    <mergeCell ref="C8:C9"/>
    <mergeCell ref="A12:B12"/>
    <mergeCell ref="I12:K12"/>
    <mergeCell ref="A13:B13"/>
    <mergeCell ref="I13:K13"/>
    <mergeCell ref="A14:B14"/>
    <mergeCell ref="I14:K14"/>
    <mergeCell ref="G8:G9"/>
    <mergeCell ref="I8:K9"/>
    <mergeCell ref="A11:B11"/>
    <mergeCell ref="A23:B23"/>
    <mergeCell ref="I23:K23"/>
    <mergeCell ref="A20:B20"/>
    <mergeCell ref="I20:K20"/>
    <mergeCell ref="A21:B21"/>
    <mergeCell ref="I21:K21"/>
    <mergeCell ref="A22:B22"/>
    <mergeCell ref="I22:K22"/>
    <mergeCell ref="A24:B24"/>
    <mergeCell ref="I24:K24"/>
    <mergeCell ref="A27:G27"/>
    <mergeCell ref="I27:K27"/>
    <mergeCell ref="A25:B25"/>
    <mergeCell ref="I25:K25"/>
    <mergeCell ref="A26:B26"/>
    <mergeCell ref="I26:K26"/>
  </mergeCells>
  <printOptions/>
  <pageMargins left="0.787401575" right="0.787401575" top="0.984251969" bottom="0.984251969" header="0.492125985" footer="0.492125985"/>
  <pageSetup fitToHeight="0"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sheetPr codeName="Plan3">
    <pageSetUpPr fitToPage="1"/>
  </sheetPr>
  <dimension ref="A1:FU320"/>
  <sheetViews>
    <sheetView zoomScale="75" zoomScaleNormal="75" zoomScaleSheetLayoutView="30" workbookViewId="0" topLeftCell="A1">
      <selection activeCell="A116" sqref="A116:I162"/>
    </sheetView>
  </sheetViews>
  <sheetFormatPr defaultColWidth="19.140625" defaultRowHeight="12.75"/>
  <cols>
    <col min="1" max="1" width="27.7109375" style="4" customWidth="1"/>
    <col min="2" max="2" width="76.28125" style="4" customWidth="1"/>
    <col min="3" max="6" width="20.7109375" style="4" customWidth="1"/>
    <col min="7" max="7" width="22.421875" style="4" customWidth="1"/>
    <col min="8" max="8" width="22.8515625" style="4" customWidth="1"/>
    <col min="9" max="9" width="23.00390625" style="4" customWidth="1"/>
    <col min="10" max="177" width="19.140625" style="104" customWidth="1"/>
    <col min="178" max="16384" width="19.140625" style="4" customWidth="1"/>
  </cols>
  <sheetData>
    <row r="1" spans="1:177" s="2" customFormat="1" ht="17.25" customHeight="1">
      <c r="A1" s="580" t="str">
        <f>Parâmetros!A7</f>
        <v>Município de Barra do Quaraí</v>
      </c>
      <c r="B1" s="581"/>
      <c r="C1" s="581"/>
      <c r="D1" s="581"/>
      <c r="E1" s="581"/>
      <c r="F1" s="581"/>
      <c r="G1" s="581"/>
      <c r="H1" s="581"/>
      <c r="I1" s="581"/>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row>
    <row r="2" spans="1:177" s="2" customFormat="1" ht="30" customHeight="1">
      <c r="A2" s="582" t="str">
        <f>Parâmetros!A8</f>
        <v>LEI DE DIRETRIZES ORÇAMENTÁRIAS  PARA 2023</v>
      </c>
      <c r="B2" s="581"/>
      <c r="C2" s="581"/>
      <c r="D2" s="581"/>
      <c r="E2" s="581"/>
      <c r="F2" s="581"/>
      <c r="G2" s="581"/>
      <c r="H2" s="581"/>
      <c r="I2" s="581"/>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row>
    <row r="3" spans="1:177" s="2" customFormat="1" ht="19.5" customHeight="1">
      <c r="A3" s="583" t="s">
        <v>589</v>
      </c>
      <c r="B3" s="581"/>
      <c r="C3" s="581"/>
      <c r="D3" s="581"/>
      <c r="E3" s="581"/>
      <c r="F3" s="581"/>
      <c r="G3" s="581"/>
      <c r="H3" s="581"/>
      <c r="I3" s="581"/>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row>
    <row r="4" spans="1:177" s="2" customFormat="1" ht="15.75" hidden="1">
      <c r="A4" s="15"/>
      <c r="B4" s="16"/>
      <c r="C4" s="16"/>
      <c r="D4" s="16"/>
      <c r="E4" s="16"/>
      <c r="F4" s="16"/>
      <c r="G4" s="16"/>
      <c r="H4" s="16"/>
      <c r="I4" s="1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row>
    <row r="5" spans="1:177" s="2" customFormat="1" ht="15.75">
      <c r="A5" s="17"/>
      <c r="B5" s="18"/>
      <c r="C5" s="18"/>
      <c r="D5" s="18"/>
      <c r="E5" s="18"/>
      <c r="F5" s="18"/>
      <c r="G5" s="18"/>
      <c r="H5" s="18"/>
      <c r="I5" s="19" t="s">
        <v>55</v>
      </c>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row>
    <row r="6" spans="1:177" s="1" customFormat="1" ht="15.75">
      <c r="A6" s="140"/>
      <c r="B6" s="141" t="s">
        <v>0</v>
      </c>
      <c r="C6" s="142" t="s">
        <v>207</v>
      </c>
      <c r="D6" s="142" t="s">
        <v>207</v>
      </c>
      <c r="E6" s="142" t="s">
        <v>207</v>
      </c>
      <c r="F6" s="143" t="s">
        <v>125</v>
      </c>
      <c r="G6" s="143" t="s">
        <v>12</v>
      </c>
      <c r="H6" s="144" t="s">
        <v>12</v>
      </c>
      <c r="I6" s="145" t="s">
        <v>12</v>
      </c>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row>
    <row r="7" spans="1:177" s="1" customFormat="1" ht="27.75" customHeight="1">
      <c r="A7" s="146"/>
      <c r="B7" s="147" t="s">
        <v>8</v>
      </c>
      <c r="C7" s="148">
        <f>Parâmetros!B10-1</f>
        <v>2019</v>
      </c>
      <c r="D7" s="149">
        <f aca="true" t="shared" si="0" ref="D7:I7">C7+1</f>
        <v>2020</v>
      </c>
      <c r="E7" s="149">
        <f t="shared" si="0"/>
        <v>2021</v>
      </c>
      <c r="F7" s="149">
        <f t="shared" si="0"/>
        <v>2022</v>
      </c>
      <c r="G7" s="149">
        <f t="shared" si="0"/>
        <v>2023</v>
      </c>
      <c r="H7" s="149">
        <f t="shared" si="0"/>
        <v>2024</v>
      </c>
      <c r="I7" s="149">
        <f t="shared" si="0"/>
        <v>2025</v>
      </c>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row>
    <row r="8" spans="1:177" s="87" customFormat="1" ht="17.25" customHeight="1">
      <c r="A8" s="150" t="s">
        <v>208</v>
      </c>
      <c r="B8" s="151" t="s">
        <v>209</v>
      </c>
      <c r="C8" s="152">
        <f>C9+C15+C23+C34+C35+C36+C39+C69</f>
        <v>25786949.29</v>
      </c>
      <c r="D8" s="152">
        <f aca="true" t="shared" si="1" ref="D8:I8">D9+D15+D23+D34+D35+D36+D39+D69</f>
        <v>29077189.429999996</v>
      </c>
      <c r="E8" s="152">
        <f t="shared" si="1"/>
        <v>31486007.759999998</v>
      </c>
      <c r="F8" s="152">
        <f t="shared" si="1"/>
        <v>33121862.340000004</v>
      </c>
      <c r="G8" s="152">
        <f t="shared" si="1"/>
        <v>36129887.03762718</v>
      </c>
      <c r="H8" s="152">
        <f t="shared" si="1"/>
        <v>36902366.55565303</v>
      </c>
      <c r="I8" s="152">
        <f t="shared" si="1"/>
        <v>37793416.79182998</v>
      </c>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row>
    <row r="9" spans="1:177" s="8" customFormat="1" ht="12.75">
      <c r="A9" s="153" t="s">
        <v>210</v>
      </c>
      <c r="B9" s="154" t="s">
        <v>211</v>
      </c>
      <c r="C9" s="155">
        <f aca="true" t="shared" si="2" ref="C9:I9">C10+C11+C12+C13+C14</f>
        <v>1277005.48</v>
      </c>
      <c r="D9" s="155">
        <f t="shared" si="2"/>
        <v>2644079.73</v>
      </c>
      <c r="E9" s="155">
        <f t="shared" si="2"/>
        <v>1509617.54</v>
      </c>
      <c r="F9" s="155">
        <f t="shared" si="2"/>
        <v>1629194.8900000001</v>
      </c>
      <c r="G9" s="155">
        <f t="shared" si="2"/>
        <v>1777779.1594314552</v>
      </c>
      <c r="H9" s="155">
        <f t="shared" si="2"/>
        <v>1605156.7806411292</v>
      </c>
      <c r="I9" s="155">
        <f t="shared" si="2"/>
        <v>1676581.070164386</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row>
    <row r="10" spans="1:177" s="8" customFormat="1" ht="12.75">
      <c r="A10" s="156" t="s">
        <v>386</v>
      </c>
      <c r="B10" s="157" t="s">
        <v>389</v>
      </c>
      <c r="C10" s="84">
        <v>250761.19</v>
      </c>
      <c r="D10" s="84">
        <v>387146.54</v>
      </c>
      <c r="E10" s="84">
        <v>349780.31</v>
      </c>
      <c r="F10" s="84">
        <v>380914.25</v>
      </c>
      <c r="G10" s="158">
        <v>411387.39</v>
      </c>
      <c r="H10" s="158">
        <f>G10*(1+Parâmetros!F11)*(1+Parâmetros!F15)</f>
        <v>371441.6692453172</v>
      </c>
      <c r="I10" s="158">
        <f>H10*(1+Parâmetros!G11)*(1+Parâmetros!G15)</f>
        <v>387969.6231780058</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row>
    <row r="11" spans="1:177" s="8" customFormat="1" ht="12.75">
      <c r="A11" s="156" t="s">
        <v>387</v>
      </c>
      <c r="B11" s="157" t="s">
        <v>390</v>
      </c>
      <c r="C11" s="84">
        <v>3197.84</v>
      </c>
      <c r="D11" s="84">
        <v>16261.58</v>
      </c>
      <c r="E11" s="84">
        <v>12762.91</v>
      </c>
      <c r="F11" s="84">
        <v>13365.92</v>
      </c>
      <c r="G11" s="158">
        <f>(((D11*(1+Parâmetros!B11)*(1+Parâmetros!C11)*(1+Parâmetros!D11))+(E11*(1+Parâmetros!C11)*(1+Parâmetros!D11)+(F11*(1+Parâmetros!D11))))/3)*(1+Parâmetros!E11)*(1+Parâmetros!E15)</f>
        <v>20185.910517174463</v>
      </c>
      <c r="H11" s="158">
        <f>G11*(1+Parâmetros!F11)*(1+Parâmetros!F15)</f>
        <v>18225.85835150632</v>
      </c>
      <c r="I11" s="158">
        <f>H11*(1+Parâmetros!G11)*(1+Parâmetros!G15)</f>
        <v>19036.85014957099</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row>
    <row r="12" spans="1:177" s="8" customFormat="1" ht="12.75">
      <c r="A12" s="156" t="s">
        <v>212</v>
      </c>
      <c r="B12" s="157" t="s">
        <v>388</v>
      </c>
      <c r="C12" s="84">
        <v>909130.18</v>
      </c>
      <c r="D12" s="84">
        <v>2147679.83</v>
      </c>
      <c r="E12" s="84">
        <v>1034073.96</v>
      </c>
      <c r="F12" s="84">
        <v>1096729.85</v>
      </c>
      <c r="G12" s="158">
        <v>1184468.23</v>
      </c>
      <c r="H12" s="158">
        <f>G12*(1+Parâmetros!F11)*(1+Parâmetros!F15)</f>
        <v>1069456.3499363614</v>
      </c>
      <c r="I12" s="158">
        <f>H12*(1+Parâmetros!G11)*(1+Parâmetros!G15)</f>
        <v>1117043.7014596376</v>
      </c>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row>
    <row r="13" spans="1:177" s="8" customFormat="1" ht="12" customHeight="1">
      <c r="A13" s="156" t="s">
        <v>213</v>
      </c>
      <c r="B13" s="157" t="s">
        <v>214</v>
      </c>
      <c r="C13" s="84">
        <v>113916.27</v>
      </c>
      <c r="D13" s="84">
        <v>92991.78</v>
      </c>
      <c r="E13" s="84">
        <v>113000.36</v>
      </c>
      <c r="F13" s="84">
        <v>138184.87</v>
      </c>
      <c r="G13" s="158">
        <f>(((D13*(1+Parâmetros!B11)*(1+Parâmetros!C11)*(1+Parâmetros!D11))+(E13*(1+Parâmetros!C11)*(1+Parâmetros!D11)+(F13*(1+Parâmetros!D11))))/3)*(1+Parâmetros!E11)*(1+Parâmetros!E15)</f>
        <v>161737.62891428082</v>
      </c>
      <c r="H13" s="158">
        <f>G13*(1+Parâmetros!F11)*(1+Parâmetros!F15)</f>
        <v>146032.90310794444</v>
      </c>
      <c r="I13" s="158">
        <f>H13*(1+Parâmetros!G11)*(1+Parâmetros!G15)</f>
        <v>152530.89537717152</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row>
    <row r="14" spans="1:177" s="8" customFormat="1" ht="12.75">
      <c r="A14" s="156" t="s">
        <v>215</v>
      </c>
      <c r="B14" s="157" t="s">
        <v>216</v>
      </c>
      <c r="C14" s="84"/>
      <c r="D14" s="84"/>
      <c r="E14" s="84"/>
      <c r="F14" s="84">
        <v>0</v>
      </c>
      <c r="G14" s="158">
        <f>(((D14*(1+Parâmetros!B11)*(1+Parâmetros!C11)*(1+Parâmetros!D11))+(E14*(1+Parâmetros!C11)*(1+Parâmetros!D11)+(F14*(1+Parâmetros!D11))))/3)*(1+Parâmetros!E11)*(1+Parâmetros!E15)</f>
        <v>0</v>
      </c>
      <c r="H14" s="158">
        <f>G14*(1+Parâmetros!F11)*(1+Parâmetros!F15)</f>
        <v>0</v>
      </c>
      <c r="I14" s="158">
        <f>H14*(1+Parâmetros!G11)*(1+Parâmetros!G15)</f>
        <v>0</v>
      </c>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row>
    <row r="15" spans="1:177" ht="12.75">
      <c r="A15" s="153" t="s">
        <v>217</v>
      </c>
      <c r="B15" s="154" t="s">
        <v>218</v>
      </c>
      <c r="C15" s="155">
        <f aca="true" t="shared" si="3" ref="C15:I15">C16+C21+C22</f>
        <v>28502.55</v>
      </c>
      <c r="D15" s="155">
        <f t="shared" si="3"/>
        <v>4823.65</v>
      </c>
      <c r="E15" s="155">
        <f t="shared" si="3"/>
        <v>33457.34</v>
      </c>
      <c r="F15" s="155">
        <f t="shared" si="3"/>
        <v>24499.78</v>
      </c>
      <c r="G15" s="155">
        <f t="shared" si="3"/>
        <v>26115.79524396621</v>
      </c>
      <c r="H15" s="155">
        <f t="shared" si="3"/>
        <v>28107.12463131863</v>
      </c>
      <c r="I15" s="155">
        <f t="shared" si="3"/>
        <v>30250.292884456674</v>
      </c>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row>
    <row r="16" spans="1:177" ht="12.75">
      <c r="A16" s="153" t="s">
        <v>219</v>
      </c>
      <c r="B16" s="154" t="s">
        <v>220</v>
      </c>
      <c r="C16" s="155">
        <f aca="true" t="shared" si="4" ref="C16:I16">C17+C18+C19+C20</f>
        <v>0</v>
      </c>
      <c r="D16" s="155">
        <f t="shared" si="4"/>
        <v>0</v>
      </c>
      <c r="E16" s="155">
        <f t="shared" si="4"/>
        <v>0</v>
      </c>
      <c r="F16" s="155">
        <f t="shared" si="4"/>
        <v>0</v>
      </c>
      <c r="G16" s="155">
        <f t="shared" si="4"/>
        <v>0</v>
      </c>
      <c r="H16" s="155">
        <f t="shared" si="4"/>
        <v>0</v>
      </c>
      <c r="I16" s="155">
        <f t="shared" si="4"/>
        <v>0</v>
      </c>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row>
    <row r="17" spans="1:177" ht="12.75">
      <c r="A17" s="156" t="s">
        <v>221</v>
      </c>
      <c r="B17" s="157" t="s">
        <v>379</v>
      </c>
      <c r="C17" s="84">
        <v>0</v>
      </c>
      <c r="D17" s="84">
        <v>0</v>
      </c>
      <c r="E17" s="84">
        <v>0</v>
      </c>
      <c r="F17" s="84">
        <v>0</v>
      </c>
      <c r="G17" s="158">
        <f>(((D17*(1+Parâmetros!B11)*(1+Parâmetros!C11)*(1+Parâmetros!D11))+(E17*(1+Parâmetros!C11)*(1+Parâmetros!D11)+(F17*(1+Parâmetros!D11))))/3)*(1+Parâmetros!E11)*(1+Parâmetros!E13)*(1+Parâmetros!E18)</f>
        <v>0</v>
      </c>
      <c r="H17" s="158">
        <f>G17*(1+Parâmetros!F11)*(1+Parâmetros!F13)*(1+Parâmetros!F18)</f>
        <v>0</v>
      </c>
      <c r="I17" s="158">
        <f>H17*(1+Parâmetros!G11)*(1+Parâmetros!G13)*(1+Parâmetros!G18)</f>
        <v>0</v>
      </c>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row>
    <row r="18" spans="1:177" ht="12.75">
      <c r="A18" s="156" t="s">
        <v>222</v>
      </c>
      <c r="B18" s="157" t="s">
        <v>223</v>
      </c>
      <c r="C18" s="84"/>
      <c r="D18" s="84"/>
      <c r="E18" s="84"/>
      <c r="F18" s="84"/>
      <c r="G18" s="158">
        <f>(((D18*(1+Parâmetros!B11)*(1+Parâmetros!C11)*(1+Parâmetros!D11))+(E18*(1+Parâmetros!C11)*(1+Parâmetros!D11)+(F18*(1+Parâmetros!D11))))/3)*(1+Parâmetros!E11)</f>
        <v>0</v>
      </c>
      <c r="H18" s="158">
        <f>G18*(1+Parâmetros!F11)</f>
        <v>0</v>
      </c>
      <c r="I18" s="158">
        <f>H18*(1+Parâmetros!G11)</f>
        <v>0</v>
      </c>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row>
    <row r="19" spans="1:177" ht="12.75">
      <c r="A19" s="156" t="s">
        <v>224</v>
      </c>
      <c r="B19" s="157" t="s">
        <v>225</v>
      </c>
      <c r="C19" s="84">
        <v>0</v>
      </c>
      <c r="D19" s="84">
        <v>0</v>
      </c>
      <c r="E19" s="84">
        <v>0</v>
      </c>
      <c r="F19" s="84">
        <v>0</v>
      </c>
      <c r="G19" s="158">
        <f>(((D19*(1+Parâmetros!B11)*(1+Parâmetros!C11)*(1+Parâmetros!D11))+(E19*(1+Parâmetros!C11)*(1+Parâmetros!D11)+(F19*(1+Parâmetros!D11))))/3)*(1+Parâmetros!E11)</f>
        <v>0</v>
      </c>
      <c r="H19" s="158">
        <f>G19*(1+Parâmetros!F11)</f>
        <v>0</v>
      </c>
      <c r="I19" s="158">
        <f>H19*(1+Parâmetros!G11)</f>
        <v>0</v>
      </c>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row>
    <row r="20" spans="1:177" ht="12.75">
      <c r="A20" s="156" t="s">
        <v>226</v>
      </c>
      <c r="B20" s="157" t="s">
        <v>227</v>
      </c>
      <c r="C20" s="84">
        <v>0</v>
      </c>
      <c r="D20" s="84">
        <v>0</v>
      </c>
      <c r="E20" s="84">
        <v>0</v>
      </c>
      <c r="F20" s="84"/>
      <c r="G20" s="158">
        <f>(((D20*(1+Parâmetros!B11)*(1+Parâmetros!C11)*(1+Parâmetros!D11))+(E20*(1+Parâmetros!C11)*(1+Parâmetros!D11)+(F20*(1+Parâmetros!D11))))/3)*(1+Parâmetros!E11)</f>
        <v>0</v>
      </c>
      <c r="H20" s="158">
        <f>G20*(1+Parâmetros!F11)</f>
        <v>0</v>
      </c>
      <c r="I20" s="158">
        <f>H20*(1+Parâmetros!G11)</f>
        <v>0</v>
      </c>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row>
    <row r="21" spans="1:177" s="8" customFormat="1" ht="12.75">
      <c r="A21" s="156" t="s">
        <v>228</v>
      </c>
      <c r="B21" s="157" t="s">
        <v>229</v>
      </c>
      <c r="C21" s="84">
        <v>0</v>
      </c>
      <c r="D21" s="84">
        <v>0</v>
      </c>
      <c r="E21" s="84">
        <v>0</v>
      </c>
      <c r="F21" s="84">
        <v>0</v>
      </c>
      <c r="G21" s="158">
        <f>(((D21*(1+Parâmetros!B11)*(1+Parâmetros!C11)*(1+Parâmetros!D11))+(E21*(1+Parâmetros!C11)*(1+Parâmetros!D11)+(F21*(1+Parâmetros!D11))))/3)*(1+Parâmetros!E11)</f>
        <v>0</v>
      </c>
      <c r="H21" s="158">
        <f>G21*(1+Parâmetros!F11)</f>
        <v>0</v>
      </c>
      <c r="I21" s="158">
        <f>H21*(1+Parâmetros!G11)</f>
        <v>0</v>
      </c>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row>
    <row r="22" spans="1:177" s="8" customFormat="1" ht="12.75">
      <c r="A22" s="156" t="s">
        <v>230</v>
      </c>
      <c r="B22" s="157" t="s">
        <v>231</v>
      </c>
      <c r="C22" s="84">
        <v>28502.55</v>
      </c>
      <c r="D22" s="84">
        <v>4823.65</v>
      </c>
      <c r="E22" s="84">
        <v>33457.34</v>
      </c>
      <c r="F22" s="84">
        <v>24499.78</v>
      </c>
      <c r="G22" s="158">
        <f>(((D22*(1+Parâmetros!B11)*(1+Parâmetros!C11)*(1+Parâmetros!D11))+(E22*(1+Parâmetros!C11)*(1+Parâmetros!D11)+(F22*(1+Parâmetros!D11))))/3)*(1+Parâmetros!E11)*(1+Parâmetros!E12)</f>
        <v>26115.79524396621</v>
      </c>
      <c r="H22" s="158">
        <f>G22*(1+Parâmetros!F11)*(1+Parâmetros!F12)</f>
        <v>28107.12463131863</v>
      </c>
      <c r="I22" s="158">
        <f>H22*(1+Parâmetros!G11)*(1+Parâmetros!G12)</f>
        <v>30250.292884456674</v>
      </c>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row>
    <row r="23" spans="1:177" s="8" customFormat="1" ht="12.75">
      <c r="A23" s="153" t="s">
        <v>232</v>
      </c>
      <c r="B23" s="154" t="s">
        <v>233</v>
      </c>
      <c r="C23" s="155">
        <f aca="true" t="shared" si="5" ref="C23:I23">C24+C25+C31+C32+C33</f>
        <v>171942.09</v>
      </c>
      <c r="D23" s="155">
        <f t="shared" si="5"/>
        <v>105209.83</v>
      </c>
      <c r="E23" s="155">
        <f t="shared" si="5"/>
        <v>146013.91</v>
      </c>
      <c r="F23" s="155">
        <f t="shared" si="5"/>
        <v>88236.07</v>
      </c>
      <c r="G23" s="155">
        <f t="shared" si="5"/>
        <v>144485.078402046</v>
      </c>
      <c r="H23" s="155">
        <f t="shared" si="5"/>
        <v>155502.06563020198</v>
      </c>
      <c r="I23" s="155">
        <f t="shared" si="5"/>
        <v>167359.09813450486</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row>
    <row r="24" spans="1:177" s="8" customFormat="1" ht="12.75">
      <c r="A24" s="156" t="s">
        <v>234</v>
      </c>
      <c r="B24" s="157" t="s">
        <v>235</v>
      </c>
      <c r="C24" s="84"/>
      <c r="D24" s="84"/>
      <c r="E24" s="84"/>
      <c r="F24" s="84"/>
      <c r="G24" s="158">
        <f>(((D24*(1+Parâmetros!B11)*(1+Parâmetros!C11)*(1+Parâmetros!D11))+(E24*(1+Parâmetros!C11)*(1+Parâmetros!D11)+(F24*(1+Parâmetros!D11))))/3)*(1+Parâmetros!E11)</f>
        <v>0</v>
      </c>
      <c r="H24" s="158">
        <f>G24*(1+Parâmetros!F11)</f>
        <v>0</v>
      </c>
      <c r="I24" s="158">
        <f>H24*(1+Parâmetros!G11)</f>
        <v>0</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row>
    <row r="25" spans="1:177" s="86" customFormat="1" ht="15.75">
      <c r="A25" s="153" t="s">
        <v>236</v>
      </c>
      <c r="B25" s="154" t="s">
        <v>237</v>
      </c>
      <c r="C25" s="155">
        <f aca="true" t="shared" si="6" ref="C25:I25">C26+C27+C28+C29+C30</f>
        <v>171942.09</v>
      </c>
      <c r="D25" s="155">
        <f t="shared" si="6"/>
        <v>105209.83</v>
      </c>
      <c r="E25" s="155">
        <f t="shared" si="6"/>
        <v>146013.91</v>
      </c>
      <c r="F25" s="155">
        <f t="shared" si="6"/>
        <v>88236.07</v>
      </c>
      <c r="G25" s="155">
        <f t="shared" si="6"/>
        <v>144485.078402046</v>
      </c>
      <c r="H25" s="155">
        <f t="shared" si="6"/>
        <v>155502.06563020198</v>
      </c>
      <c r="I25" s="155">
        <f t="shared" si="6"/>
        <v>167359.09813450486</v>
      </c>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row>
    <row r="26" spans="1:177" ht="12.75">
      <c r="A26" s="156" t="s">
        <v>238</v>
      </c>
      <c r="B26" s="157" t="s">
        <v>239</v>
      </c>
      <c r="C26" s="84">
        <v>12797.01</v>
      </c>
      <c r="D26" s="84">
        <v>2814.49</v>
      </c>
      <c r="E26" s="84">
        <v>30276.28</v>
      </c>
      <c r="F26" s="84">
        <v>18865.92</v>
      </c>
      <c r="G26" s="158">
        <f>(((D26*(1+Parâmetros!B11)*(1+Parâmetros!C11)*(1+Parâmetros!D11))+(E26*(1+Parâmetros!C11)*(1+Parâmetros!D11)+(F26*(1+Parâmetros!D11))))/3)*(1+Parâmetros!E11)*(1+Parâmetros!E12)</f>
        <v>21645.663921893458</v>
      </c>
      <c r="H26" s="158">
        <f>G26*(1+Parâmetros!F11)*(1+Parâmetros!F12)</f>
        <v>23296.145795937835</v>
      </c>
      <c r="I26" s="158">
        <f>H26*(1+Parâmetros!G11)*(1+Parâmetros!G12)</f>
        <v>25072.476912878094</v>
      </c>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row>
    <row r="27" spans="1:177" ht="12.75">
      <c r="A27" s="156" t="s">
        <v>240</v>
      </c>
      <c r="B27" s="157" t="s">
        <v>241</v>
      </c>
      <c r="C27" s="84">
        <v>7596.06</v>
      </c>
      <c r="D27" s="84">
        <v>2784.5</v>
      </c>
      <c r="E27" s="84">
        <v>57243.06</v>
      </c>
      <c r="F27" s="84">
        <v>6196.01</v>
      </c>
      <c r="G27" s="158">
        <f>(((D27*(1+Parâmetros!B11)*(1+Parâmetros!C11)*(1+Parâmetros!D11))+(E27*(1+Parâmetros!C11)*(1+Parâmetros!D11)+(F27*(1+Parâmetros!D11))))/3)*(1+Parâmetros!E11)*(1+Parâmetros!E12)</f>
        <v>28275.089284869977</v>
      </c>
      <c r="H27" s="158">
        <f>G27*(1+Parâmetros!F11)*(1+Parâmetros!F12)</f>
        <v>30431.06484284131</v>
      </c>
      <c r="I27" s="158">
        <f>H27*(1+Parâmetros!G11)*(1+Parâmetros!G12)</f>
        <v>32751.43353710796</v>
      </c>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row>
    <row r="28" spans="1:177" ht="25.5">
      <c r="A28" s="156" t="s">
        <v>242</v>
      </c>
      <c r="B28" s="157" t="s">
        <v>606</v>
      </c>
      <c r="C28" s="84">
        <v>0</v>
      </c>
      <c r="D28" s="84"/>
      <c r="E28" s="84">
        <v>0</v>
      </c>
      <c r="F28" s="84"/>
      <c r="G28" s="158">
        <f>(((D28*(1+Parâmetros!B11)*(1+Parâmetros!C11)*(1+Parâmetros!D11))+(E28*(1+Parâmetros!C11)*(1+Parâmetros!D11)+(F28*(1+Parâmetros!D11))))/3)*(1+Parâmetros!E11)*(1+Parâmetros!E12)</f>
        <v>0</v>
      </c>
      <c r="H28" s="158">
        <f>G28*(1+Parâmetros!F11)*(1+Parâmetros!F12)</f>
        <v>0</v>
      </c>
      <c r="I28" s="158">
        <f>H28*(1+Parâmetros!G11)*(1+Parâmetros!G12)</f>
        <v>0</v>
      </c>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row>
    <row r="29" spans="1:177" ht="12.75">
      <c r="A29" s="156" t="s">
        <v>243</v>
      </c>
      <c r="B29" s="157" t="s">
        <v>244</v>
      </c>
      <c r="C29" s="84">
        <v>151549.02</v>
      </c>
      <c r="D29" s="84">
        <v>99610.84</v>
      </c>
      <c r="E29" s="84">
        <v>58494.57</v>
      </c>
      <c r="F29" s="84">
        <v>63174.14</v>
      </c>
      <c r="G29" s="158">
        <f>(((D29*(1+Parâmetros!B11)*(1+Parâmetros!C11)*(1+Parâmetros!D11))+(E29*(1+Parâmetros!C11)*(1+Parâmetros!D11)+(F29*(1+Parâmetros!D11))))/3)*(1+Parâmetros!E11)*(1+Parâmetros!E12)</f>
        <v>94564.32519528255</v>
      </c>
      <c r="H29" s="158">
        <f>G29*(1+Parâmetros!F11)*(1+Parâmetros!F12)</f>
        <v>101774.85499142284</v>
      </c>
      <c r="I29" s="158">
        <f>H29*(1+Parâmetros!G11)*(1+Parâmetros!G12)</f>
        <v>109535.18768451882</v>
      </c>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row>
    <row r="30" spans="1:177" ht="12.75">
      <c r="A30" s="156" t="s">
        <v>245</v>
      </c>
      <c r="B30" s="157" t="s">
        <v>246</v>
      </c>
      <c r="C30" s="84">
        <v>0</v>
      </c>
      <c r="D30" s="84"/>
      <c r="E30" s="84">
        <v>0</v>
      </c>
      <c r="F30" s="84">
        <v>0</v>
      </c>
      <c r="G30" s="158">
        <f>(((D30*(1+Parâmetros!B11)*(1+Parâmetros!C11)*(1+Parâmetros!D11))+(E30*(1+Parâmetros!C11)*(1+Parâmetros!D11)+(F30*(1+Parâmetros!D11))))/3)*(1+Parâmetros!E11)*(1+Parâmetros!E12)</f>
        <v>0</v>
      </c>
      <c r="H30" s="158">
        <f>G30*(1+Parâmetros!F11)*(1+Parâmetros!F12)</f>
        <v>0</v>
      </c>
      <c r="I30" s="158">
        <f>H30*(1+Parâmetros!G11)*(1+Parâmetros!G12)</f>
        <v>0</v>
      </c>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row>
    <row r="31" spans="1:177" ht="25.5">
      <c r="A31" s="156" t="s">
        <v>247</v>
      </c>
      <c r="B31" s="157" t="s">
        <v>248</v>
      </c>
      <c r="C31" s="84">
        <v>0</v>
      </c>
      <c r="D31" s="84">
        <v>0</v>
      </c>
      <c r="E31" s="84">
        <v>0</v>
      </c>
      <c r="F31" s="84">
        <v>0</v>
      </c>
      <c r="G31" s="158">
        <f>(((D31*(1+Parâmetros!B11)*(1+Parâmetros!C11)*(1+Parâmetros!D11))+(E31*(1+Parâmetros!C11)*(1+Parâmetros!D11)+(F31*(1+Parâmetros!D11))))/3)*(1+Parâmetros!E11)*(1+Parâmetros!E12)</f>
        <v>0</v>
      </c>
      <c r="H31" s="158">
        <f>G31*(1+Parâmetros!F11)*(1+Parâmetros!F12)</f>
        <v>0</v>
      </c>
      <c r="I31" s="158">
        <f>H31*(1+Parâmetros!G11)*(1+Parâmetros!G12)</f>
        <v>0</v>
      </c>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row>
    <row r="32" spans="1:177" ht="12.75">
      <c r="A32" s="156" t="s">
        <v>249</v>
      </c>
      <c r="B32" s="157" t="s">
        <v>250</v>
      </c>
      <c r="C32" s="84">
        <v>0</v>
      </c>
      <c r="D32" s="84">
        <v>0</v>
      </c>
      <c r="E32" s="84">
        <v>0</v>
      </c>
      <c r="F32" s="84">
        <v>0</v>
      </c>
      <c r="G32" s="158">
        <f>(((D32*(1+Parâmetros!B11)*(1+Parâmetros!C11)*(1+Parâmetros!D11))+(E32*(1+Parâmetros!C11)*(1+Parâmetros!D11)+(F32*(1+Parâmetros!D11))))/3)*(1+Parâmetros!E11)*(1+Parâmetros!E12)</f>
        <v>0</v>
      </c>
      <c r="H32" s="158">
        <f>G32*(1+Parâmetros!F11)*(1+Parâmetros!F12)</f>
        <v>0</v>
      </c>
      <c r="I32" s="158">
        <f>H32*(1+Parâmetros!G11)*(1+Parâmetros!G12)</f>
        <v>0</v>
      </c>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row>
    <row r="33" spans="1:177" ht="12.75">
      <c r="A33" s="156" t="s">
        <v>251</v>
      </c>
      <c r="B33" s="157" t="s">
        <v>252</v>
      </c>
      <c r="C33" s="84">
        <v>0</v>
      </c>
      <c r="D33" s="84">
        <v>0</v>
      </c>
      <c r="E33" s="84">
        <v>0</v>
      </c>
      <c r="F33" s="84">
        <v>0</v>
      </c>
      <c r="G33" s="158">
        <f>(((D33*(1+Parâmetros!B11)*(1+Parâmetros!C11)*(1+Parâmetros!D11))+(E33*(1+Parâmetros!C11)*(1+Parâmetros!D11)+(F33*(1+Parâmetros!D11))))/3)*(1+Parâmetros!E11)*(1+Parâmetros!E12)</f>
        <v>0</v>
      </c>
      <c r="H33" s="158">
        <f>G33*(1+Parâmetros!F11)*(1+Parâmetros!F12)</f>
        <v>0</v>
      </c>
      <c r="I33" s="158">
        <f>H33*(1+Parâmetros!G11)*(1+Parâmetros!G12)</f>
        <v>0</v>
      </c>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row>
    <row r="34" spans="1:177" ht="12.75">
      <c r="A34" s="156" t="s">
        <v>253</v>
      </c>
      <c r="B34" s="157" t="s">
        <v>254</v>
      </c>
      <c r="C34" s="84"/>
      <c r="D34" s="84"/>
      <c r="E34" s="84"/>
      <c r="F34" s="84"/>
      <c r="G34" s="158">
        <f>(((D34*(1+Parâmetros!B11)*(1+Parâmetros!C11)*(1+Parâmetros!D11))+(E34*(1+Parâmetros!C11)*(1+Parâmetros!D11)+(F34*(1+Parâmetros!D11))))/3)*(1+Parâmetros!E11)*(1+Parâmetros!E12)</f>
        <v>0</v>
      </c>
      <c r="H34" s="158">
        <f>G34*(1+Parâmetros!F11)*(1+Parâmetros!F12)</f>
        <v>0</v>
      </c>
      <c r="I34" s="158">
        <f>H34*(1+Parâmetros!G11)*(1+Parâmetros!G12)</f>
        <v>0</v>
      </c>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row>
    <row r="35" spans="1:177" ht="12.75">
      <c r="A35" s="156" t="s">
        <v>283</v>
      </c>
      <c r="B35" s="157" t="s">
        <v>284</v>
      </c>
      <c r="C35" s="84"/>
      <c r="D35" s="84"/>
      <c r="E35" s="84"/>
      <c r="F35" s="84"/>
      <c r="G35" s="158">
        <f>(((D35*(1+Parâmetros!B11)*(1+Parâmetros!C11)*(1+Parâmetros!D11))+(E35*(1+Parâmetros!C11)*(1+Parâmetros!D11)+(F35*(1+Parâmetros!D11))))/3)*(1+Parâmetros!E11)*(1+Parâmetros!E12)</f>
        <v>0</v>
      </c>
      <c r="H35" s="158">
        <f>G35*(1+Parâmetros!F11)*(1+Parâmetros!F12)</f>
        <v>0</v>
      </c>
      <c r="I35" s="158">
        <f>H35*(1+Parâmetros!G11)*(1+Parâmetros!G12)</f>
        <v>0</v>
      </c>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row>
    <row r="36" spans="1:177" s="7" customFormat="1" ht="12.75">
      <c r="A36" s="250" t="s">
        <v>478</v>
      </c>
      <c r="B36" s="251" t="s">
        <v>255</v>
      </c>
      <c r="C36" s="252">
        <f aca="true" t="shared" si="7" ref="C36:I36">C37+C38</f>
        <v>0</v>
      </c>
      <c r="D36" s="252">
        <f t="shared" si="7"/>
        <v>0</v>
      </c>
      <c r="E36" s="252">
        <f t="shared" si="7"/>
        <v>0</v>
      </c>
      <c r="F36" s="252">
        <f t="shared" si="7"/>
        <v>0</v>
      </c>
      <c r="G36" s="252">
        <f t="shared" si="7"/>
        <v>0</v>
      </c>
      <c r="H36" s="252">
        <f t="shared" si="7"/>
        <v>0</v>
      </c>
      <c r="I36" s="252">
        <f t="shared" si="7"/>
        <v>0</v>
      </c>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row>
    <row r="37" spans="1:177" ht="25.5">
      <c r="A37" s="253" t="s">
        <v>480</v>
      </c>
      <c r="B37" s="157" t="s">
        <v>481</v>
      </c>
      <c r="C37" s="84"/>
      <c r="D37" s="84"/>
      <c r="E37" s="84"/>
      <c r="F37" s="84"/>
      <c r="G37" s="155">
        <f>(((D37*(1+Parâmetros!B11)*(1+Parâmetros!C11)*(1+Parâmetros!D11))+(E37*(1+Parâmetros!C11)*(1+Parâmetros!D11)+(F37*(1+Parâmetros!D11))))/3)*(1+Parâmetros!E11)</f>
        <v>0</v>
      </c>
      <c r="H37" s="158">
        <f>G37*(1+Parâmetros!F11)</f>
        <v>0</v>
      </c>
      <c r="I37" s="158">
        <f>H37*(1+Parâmetros!G11)</f>
        <v>0</v>
      </c>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row>
    <row r="38" spans="1:177" ht="12.75">
      <c r="A38" s="156" t="s">
        <v>478</v>
      </c>
      <c r="B38" s="157" t="s">
        <v>479</v>
      </c>
      <c r="C38" s="84"/>
      <c r="D38" s="84"/>
      <c r="E38" s="84"/>
      <c r="F38" s="84"/>
      <c r="G38" s="155">
        <f>(((D38*(1+Parâmetros!B11)*(1+Parâmetros!C11)*(1+Parâmetros!D11))+(E38*(1+Parâmetros!C11)*(1+Parâmetros!D11)+(F38*(1+Parâmetros!D11))))/3)*(1+Parâmetros!E11)*(1+Parâmetros!E12)</f>
        <v>0</v>
      </c>
      <c r="H38" s="155">
        <f>G38*(1+Parâmetros!F11)*(1+Parâmetros!F12)</f>
        <v>0</v>
      </c>
      <c r="I38" s="155">
        <f>H38*(1+Parâmetros!G11)*(1+Parâmetros!G12)</f>
        <v>0</v>
      </c>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row>
    <row r="39" spans="1:177" s="7" customFormat="1" ht="12.75">
      <c r="A39" s="153" t="s">
        <v>256</v>
      </c>
      <c r="B39" s="154" t="s">
        <v>257</v>
      </c>
      <c r="C39" s="155">
        <f aca="true" t="shared" si="8" ref="C39:I39">C40+C54+C64+C65+C66+C67+C68</f>
        <v>23946253.68</v>
      </c>
      <c r="D39" s="155">
        <f t="shared" si="8"/>
        <v>26072778.489999995</v>
      </c>
      <c r="E39" s="155">
        <f t="shared" si="8"/>
        <v>29478517.68</v>
      </c>
      <c r="F39" s="155">
        <f t="shared" si="8"/>
        <v>31174931.6</v>
      </c>
      <c r="G39" s="155">
        <f t="shared" si="8"/>
        <v>33953749.36716058</v>
      </c>
      <c r="H39" s="155">
        <f t="shared" si="8"/>
        <v>34874455.06549179</v>
      </c>
      <c r="I39" s="155">
        <f t="shared" si="8"/>
        <v>35668123.53542512</v>
      </c>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row>
    <row r="40" spans="1:177" s="7" customFormat="1" ht="12.75">
      <c r="A40" s="153" t="s">
        <v>258</v>
      </c>
      <c r="B40" s="154" t="s">
        <v>259</v>
      </c>
      <c r="C40" s="155">
        <f aca="true" t="shared" si="9" ref="C40:I40">C41+C42+C43+C44+C45+C46+C47+C48+C51+C52+C53</f>
        <v>12194302.41</v>
      </c>
      <c r="D40" s="155">
        <f t="shared" si="9"/>
        <v>13844270.199999997</v>
      </c>
      <c r="E40" s="155">
        <f t="shared" si="9"/>
        <v>13872191.57</v>
      </c>
      <c r="F40" s="155">
        <f t="shared" si="9"/>
        <v>14770836.290000001</v>
      </c>
      <c r="G40" s="155">
        <f t="shared" si="9"/>
        <v>15887005.74</v>
      </c>
      <c r="H40" s="155">
        <f t="shared" si="9"/>
        <v>15786204.573668396</v>
      </c>
      <c r="I40" s="155">
        <f t="shared" si="9"/>
        <v>15965302.746491276</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row>
    <row r="41" spans="1:177" ht="12.75">
      <c r="A41" s="156" t="s">
        <v>260</v>
      </c>
      <c r="B41" s="157" t="s">
        <v>261</v>
      </c>
      <c r="C41" s="84">
        <v>8733415.32</v>
      </c>
      <c r="D41" s="84">
        <v>8343818.35</v>
      </c>
      <c r="E41" s="84">
        <v>10319993.65</v>
      </c>
      <c r="F41" s="535">
        <v>12000000</v>
      </c>
      <c r="G41" s="158">
        <v>12960000</v>
      </c>
      <c r="H41" s="158">
        <f>G41*(1+Parâmetros!F11)*(1+Parâmetros!F16)</f>
        <v>12807388.31812943</v>
      </c>
      <c r="I41" s="158">
        <f>H41*(1+Parâmetros!G11)*(1+Parâmetros!G16)</f>
        <v>12901992.100162512</v>
      </c>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row>
    <row r="42" spans="1:177" ht="25.5">
      <c r="A42" s="156" t="s">
        <v>262</v>
      </c>
      <c r="B42" s="157" t="s">
        <v>263</v>
      </c>
      <c r="C42" s="84">
        <v>0</v>
      </c>
      <c r="D42" s="84">
        <v>0</v>
      </c>
      <c r="E42" s="84">
        <v>452337.92</v>
      </c>
      <c r="F42" s="535"/>
      <c r="G42" s="158">
        <v>0</v>
      </c>
      <c r="H42" s="158">
        <f>G42*(1+Parâmetros!F11)*(1+Parâmetros!F16)</f>
        <v>0</v>
      </c>
      <c r="I42" s="158">
        <f>H42*(1+Parâmetros!G11)*(1+Parâmetros!G16)</f>
        <v>0</v>
      </c>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row>
    <row r="43" spans="1:177" ht="25.5">
      <c r="A43" s="156" t="s">
        <v>264</v>
      </c>
      <c r="B43" s="157" t="s">
        <v>265</v>
      </c>
      <c r="C43" s="84">
        <v>0</v>
      </c>
      <c r="D43" s="84">
        <v>0</v>
      </c>
      <c r="E43" s="84">
        <v>399571.6</v>
      </c>
      <c r="F43" s="535"/>
      <c r="G43" s="158">
        <v>0</v>
      </c>
      <c r="H43" s="158">
        <f>G43*(1+Parâmetros!F11)*(1+Parâmetros!F16)</f>
        <v>0</v>
      </c>
      <c r="I43" s="158">
        <f>H43*(1+Parâmetros!G11)*(1+Parâmetros!G16)</f>
        <v>0</v>
      </c>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row>
    <row r="44" spans="1:177" ht="12.75">
      <c r="A44" s="156" t="s">
        <v>266</v>
      </c>
      <c r="B44" s="157" t="s">
        <v>267</v>
      </c>
      <c r="C44" s="84">
        <v>865260</v>
      </c>
      <c r="D44" s="84">
        <v>1376676.36</v>
      </c>
      <c r="E44" s="84">
        <v>1149160.39</v>
      </c>
      <c r="F44" s="535">
        <v>1241093.22</v>
      </c>
      <c r="G44" s="158">
        <v>1340380.68</v>
      </c>
      <c r="H44" s="158">
        <f>G44*(1+Parâmetros!F11)*(1+Parâmetros!F16)</f>
        <v>1324596.902999875</v>
      </c>
      <c r="I44" s="158">
        <f>H44*(1+Parâmetros!G11)*(1+Parâmetros!G16)</f>
        <v>1334381.245723029</v>
      </c>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row>
    <row r="45" spans="1:177" ht="12.75">
      <c r="A45" s="156" t="s">
        <v>268</v>
      </c>
      <c r="B45" s="157" t="s">
        <v>269</v>
      </c>
      <c r="C45" s="84">
        <v>123835.34</v>
      </c>
      <c r="D45" s="84">
        <v>123148.86</v>
      </c>
      <c r="E45" s="84">
        <v>199314.84</v>
      </c>
      <c r="F45" s="535">
        <v>147085.82</v>
      </c>
      <c r="G45" s="158">
        <v>150000</v>
      </c>
      <c r="H45" s="158">
        <f>G45*(1+Parâmetros!F11)*(1+Parâmetros!F16)</f>
        <v>148233.66108946098</v>
      </c>
      <c r="I45" s="158">
        <f>H45*(1+Parâmetros!G11)*(1+Parâmetros!G16)</f>
        <v>149328.6122703994</v>
      </c>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row>
    <row r="46" spans="1:177" ht="25.5">
      <c r="A46" s="156" t="s">
        <v>270</v>
      </c>
      <c r="B46" s="157" t="s">
        <v>271</v>
      </c>
      <c r="C46" s="84">
        <v>954740.77</v>
      </c>
      <c r="D46" s="535">
        <v>973091.92</v>
      </c>
      <c r="E46" s="84">
        <v>657228.1</v>
      </c>
      <c r="F46" s="535">
        <v>756552.58</v>
      </c>
      <c r="G46" s="158">
        <v>765631.57</v>
      </c>
      <c r="H46" s="158">
        <f>G46*(1+Parâmetros!F11)</f>
        <v>803913.1485</v>
      </c>
      <c r="I46" s="158">
        <f>H46*(1+Parâmetros!G11)</f>
        <v>844108.805925</v>
      </c>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row>
    <row r="47" spans="1:177" ht="12.75">
      <c r="A47" s="156" t="s">
        <v>691</v>
      </c>
      <c r="B47" s="157" t="s">
        <v>272</v>
      </c>
      <c r="C47" s="84">
        <v>319906.93</v>
      </c>
      <c r="D47" s="84">
        <v>353750.36</v>
      </c>
      <c r="E47" s="84">
        <v>115194.51</v>
      </c>
      <c r="F47" s="535">
        <v>150000</v>
      </c>
      <c r="G47" s="158">
        <v>160000</v>
      </c>
      <c r="H47" s="158">
        <f>G47*(1+Parâmetros!F11)</f>
        <v>168000</v>
      </c>
      <c r="I47" s="158">
        <f>H47*(1+Parâmetros!G11)</f>
        <v>176400</v>
      </c>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row>
    <row r="48" spans="1:177" ht="25.5">
      <c r="A48" s="156" t="s">
        <v>273</v>
      </c>
      <c r="B48" s="157" t="s">
        <v>274</v>
      </c>
      <c r="C48" s="84">
        <v>628092.34</v>
      </c>
      <c r="D48" s="84">
        <v>400283.4</v>
      </c>
      <c r="E48" s="84">
        <v>371110.44</v>
      </c>
      <c r="F48" s="84">
        <v>400000</v>
      </c>
      <c r="G48" s="158">
        <v>432000</v>
      </c>
      <c r="H48" s="158">
        <f>G48*(1+Parâmetros!F11)</f>
        <v>453600</v>
      </c>
      <c r="I48" s="158">
        <f>H48*(1+Parâmetros!G11)</f>
        <v>476280</v>
      </c>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row>
    <row r="49" spans="1:177" ht="12.75">
      <c r="A49" s="156" t="s">
        <v>699</v>
      </c>
      <c r="B49" s="157" t="s">
        <v>700</v>
      </c>
      <c r="C49" s="84"/>
      <c r="D49" s="84"/>
      <c r="E49" s="84"/>
      <c r="F49" s="84"/>
      <c r="G49" s="158"/>
      <c r="H49" s="158"/>
      <c r="I49" s="158"/>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row>
    <row r="50" spans="1:177" ht="12.75">
      <c r="A50" s="156" t="s">
        <v>701</v>
      </c>
      <c r="B50" s="157" t="s">
        <v>702</v>
      </c>
      <c r="C50" s="84">
        <v>226550</v>
      </c>
      <c r="D50" s="84"/>
      <c r="E50" s="84"/>
      <c r="F50" s="84"/>
      <c r="G50" s="158"/>
      <c r="H50" s="158"/>
      <c r="I50" s="158"/>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row>
    <row r="51" spans="1:177" ht="12.75">
      <c r="A51" s="156" t="s">
        <v>275</v>
      </c>
      <c r="B51" s="157" t="s">
        <v>276</v>
      </c>
      <c r="C51" s="84"/>
      <c r="D51" s="84">
        <v>76399.15</v>
      </c>
      <c r="E51" s="84">
        <v>12037.06</v>
      </c>
      <c r="F51" s="84">
        <v>39993.49</v>
      </c>
      <c r="G51" s="158">
        <v>39993.49</v>
      </c>
      <c r="H51" s="158">
        <f>G51*(1+Parâmetros!F11)*(1+Parâmetros!F16)</f>
        <v>39522.54294963164</v>
      </c>
      <c r="I51" s="158">
        <f>H51*(1+Parâmetros!G11)*(1+Parâmetros!G16)</f>
        <v>39814.48241033397</v>
      </c>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row>
    <row r="52" spans="1:177" ht="12.75">
      <c r="A52" s="156" t="s">
        <v>277</v>
      </c>
      <c r="B52" s="157" t="s">
        <v>278</v>
      </c>
      <c r="C52" s="84">
        <v>148800.88</v>
      </c>
      <c r="D52" s="84">
        <v>659622.87</v>
      </c>
      <c r="E52" s="84">
        <v>136057.76</v>
      </c>
      <c r="F52" s="536"/>
      <c r="G52" s="158"/>
      <c r="H52" s="158">
        <f>G52*(1+Parâmetros!F11)</f>
        <v>0</v>
      </c>
      <c r="I52" s="158">
        <f>H52*(1+Parâmetros!G11)</f>
        <v>0</v>
      </c>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row>
    <row r="53" spans="1:177" ht="12.75">
      <c r="A53" s="156" t="s">
        <v>604</v>
      </c>
      <c r="B53" s="157" t="s">
        <v>605</v>
      </c>
      <c r="C53" s="84">
        <v>420250.83</v>
      </c>
      <c r="D53" s="84">
        <v>1537478.93</v>
      </c>
      <c r="E53" s="84">
        <v>60185.3</v>
      </c>
      <c r="F53" s="535">
        <v>36111.18</v>
      </c>
      <c r="G53" s="158">
        <v>39000</v>
      </c>
      <c r="H53" s="158">
        <f>G53*(1+Parâmetros!F11)</f>
        <v>40950</v>
      </c>
      <c r="I53" s="158">
        <f>H53*(1+Parâmetros!G11)</f>
        <v>42997.5</v>
      </c>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row>
    <row r="54" spans="1:177" s="7" customFormat="1" ht="12.75">
      <c r="A54" s="153" t="s">
        <v>279</v>
      </c>
      <c r="B54" s="154" t="s">
        <v>280</v>
      </c>
      <c r="C54" s="155">
        <f aca="true" t="shared" si="10" ref="C54:I54">C55+C56+C57+C58+C59+C60+C61+C62+C63</f>
        <v>8051301.419999999</v>
      </c>
      <c r="D54" s="155">
        <f t="shared" si="10"/>
        <v>8402624.36</v>
      </c>
      <c r="E54" s="155">
        <f t="shared" si="10"/>
        <v>10821906.819999998</v>
      </c>
      <c r="F54" s="155">
        <f t="shared" si="10"/>
        <v>11017646.51</v>
      </c>
      <c r="G54" s="155">
        <f t="shared" si="10"/>
        <v>12467959.051141558</v>
      </c>
      <c r="H54" s="155">
        <f t="shared" si="10"/>
        <v>13554912.167539824</v>
      </c>
      <c r="I54" s="155">
        <f t="shared" si="10"/>
        <v>14128259.934252694</v>
      </c>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row>
    <row r="55" spans="1:177" ht="12.75">
      <c r="A55" s="156" t="s">
        <v>281</v>
      </c>
      <c r="B55" s="157" t="s">
        <v>282</v>
      </c>
      <c r="C55" s="84">
        <v>7391546.78</v>
      </c>
      <c r="D55" s="84">
        <v>7475612.81</v>
      </c>
      <c r="E55" s="84">
        <v>9569733.34</v>
      </c>
      <c r="F55" s="535">
        <v>9950000</v>
      </c>
      <c r="G55" s="158">
        <f>(((D55*(1+Parâmetros!B11)*(1+Parâmetros!C11)*(1+Parâmetros!D11))+(E55*(1+Parâmetros!C11)*(1+Parâmetros!D11)+(F55*(1+Parâmetros!D11))))/3)*(1+Parâmetros!E11)*(1+Parâmetros!E17)</f>
        <v>11358442.093306342</v>
      </c>
      <c r="H55" s="158">
        <f>G55*(1+Parâmetros!F11)*(1+Parâmetros!F17)</f>
        <v>12371170.445096627</v>
      </c>
      <c r="I55" s="158">
        <f>H55*(1+Parâmetros!G11)*(1+Parâmetros!G17)</f>
        <v>12889553.592809686</v>
      </c>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row>
    <row r="56" spans="1:177" ht="12.75">
      <c r="A56" s="156" t="s">
        <v>285</v>
      </c>
      <c r="B56" s="157" t="s">
        <v>286</v>
      </c>
      <c r="C56" s="84">
        <v>214242.38</v>
      </c>
      <c r="D56" s="84">
        <v>270282.57</v>
      </c>
      <c r="E56" s="84">
        <v>310858.5</v>
      </c>
      <c r="F56" s="535">
        <v>307449.67</v>
      </c>
      <c r="G56" s="158">
        <v>332045.64</v>
      </c>
      <c r="H56" s="158">
        <f>G56*(1+Parâmetros!F11)*(1+Parâmetros!F17)</f>
        <v>361651.1115033956</v>
      </c>
      <c r="I56" s="158">
        <f>H56*(1+Parâmetros!G11)*(1+Parâmetros!G17)</f>
        <v>376805.20241072465</v>
      </c>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row>
    <row r="57" spans="1:177" ht="12.75">
      <c r="A57" s="156" t="s">
        <v>287</v>
      </c>
      <c r="B57" s="157" t="s">
        <v>288</v>
      </c>
      <c r="C57" s="84">
        <v>107280.02</v>
      </c>
      <c r="D57" s="84">
        <v>105878.64</v>
      </c>
      <c r="E57" s="84">
        <v>103213.96</v>
      </c>
      <c r="F57" s="535">
        <v>128452.8</v>
      </c>
      <c r="G57" s="158">
        <v>138729.02</v>
      </c>
      <c r="H57" s="158">
        <f>G57*(1+Parâmetros!F11)*(1+Parâmetros!F17)</f>
        <v>151098.21734378682</v>
      </c>
      <c r="I57" s="158">
        <f>H57*(1+Parâmetros!G11)*(1+Parâmetros!G17)</f>
        <v>157429.6125717581</v>
      </c>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row>
    <row r="58" spans="1:177" ht="12.75">
      <c r="A58" s="156" t="s">
        <v>289</v>
      </c>
      <c r="B58" s="157" t="s">
        <v>290</v>
      </c>
      <c r="C58" s="84">
        <v>8240.14</v>
      </c>
      <c r="D58" s="84">
        <v>6964.22</v>
      </c>
      <c r="E58" s="84">
        <v>4479.79</v>
      </c>
      <c r="F58" s="535">
        <v>7521.36</v>
      </c>
      <c r="G58" s="158">
        <f>(((D58*(1+Parâmetros!B11)*(1+Parâmetros!C11)*(1+Parâmetros!D11))+(E58*(1+Parâmetros!C11)*(1+Parâmetros!D11)+(F58*(1+Parâmetros!D11))))/3)*(1+Parâmetros!E11)*(1+Parâmetros!E17)</f>
        <v>7992.187835214275</v>
      </c>
      <c r="H58" s="158">
        <f>G58*(1+Parâmetros!F11)*(1+Parâmetros!F17)</f>
        <v>8704.778096014632</v>
      </c>
      <c r="I58" s="158">
        <f>H58*(1+Parâmetros!G11)*(1+Parâmetros!G17)</f>
        <v>9069.530185526442</v>
      </c>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row>
    <row r="59" spans="1:177" ht="12.75">
      <c r="A59" s="156" t="s">
        <v>291</v>
      </c>
      <c r="B59" s="157" t="s">
        <v>292</v>
      </c>
      <c r="C59" s="84">
        <v>0</v>
      </c>
      <c r="D59" s="84"/>
      <c r="E59" s="84"/>
      <c r="F59" s="84"/>
      <c r="G59" s="158">
        <f>(((D59*(1+Parâmetros!B11)*(1+Parâmetros!C11)*(1+Parâmetros!D11))+(E59*(1+Parâmetros!C11)*(1+Parâmetros!D11)+(F59*(1+Parâmetros!D11))))/3)*(1+Parâmetros!E11)</f>
        <v>0</v>
      </c>
      <c r="H59" s="158">
        <f>G59*(1+Parâmetros!F11)</f>
        <v>0</v>
      </c>
      <c r="I59" s="158">
        <f>H59*(1+Parâmetros!G11)</f>
        <v>0</v>
      </c>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row>
    <row r="60" spans="1:177" ht="12.75">
      <c r="A60" s="156" t="s">
        <v>293</v>
      </c>
      <c r="B60" s="157" t="s">
        <v>294</v>
      </c>
      <c r="C60" s="84">
        <v>316952.29</v>
      </c>
      <c r="D60" s="84">
        <v>355534.87</v>
      </c>
      <c r="E60" s="84">
        <v>629425.51</v>
      </c>
      <c r="F60" s="535">
        <v>614275.28</v>
      </c>
      <c r="G60" s="538">
        <v>620802.71</v>
      </c>
      <c r="H60" s="158">
        <f>G60*(1+Parâmetros!F11)</f>
        <v>651842.8454999999</v>
      </c>
      <c r="I60" s="158">
        <f>H60*(1+Parâmetros!G11)</f>
        <v>684434.9877749999</v>
      </c>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row>
    <row r="61" spans="1:177" ht="25.5">
      <c r="A61" s="156" t="s">
        <v>295</v>
      </c>
      <c r="B61" s="157" t="s">
        <v>296</v>
      </c>
      <c r="C61" s="84"/>
      <c r="D61" s="84">
        <v>22011.89</v>
      </c>
      <c r="E61" s="84">
        <v>195121.35</v>
      </c>
      <c r="F61" s="535">
        <v>9947.4</v>
      </c>
      <c r="G61" s="158">
        <v>9947.4</v>
      </c>
      <c r="H61" s="158">
        <f>G61*(1+Parâmetros!F11)</f>
        <v>10444.77</v>
      </c>
      <c r="I61" s="158">
        <f>H61*(1+Parâmetros!G11)</f>
        <v>10967.008500000002</v>
      </c>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row>
    <row r="62" spans="1:177" ht="12.75">
      <c r="A62" s="156" t="s">
        <v>297</v>
      </c>
      <c r="B62" s="157" t="s">
        <v>298</v>
      </c>
      <c r="C62" s="84">
        <v>13039.81</v>
      </c>
      <c r="D62" s="84">
        <v>13133.6</v>
      </c>
      <c r="E62" s="84"/>
      <c r="F62" s="84"/>
      <c r="G62" s="158"/>
      <c r="H62" s="158">
        <f>G62*(1+Parâmetros!F11)</f>
        <v>0</v>
      </c>
      <c r="I62" s="158">
        <f>H62*(1+Parâmetros!G11)</f>
        <v>0</v>
      </c>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row>
    <row r="63" spans="1:177" ht="12.75">
      <c r="A63" s="156" t="s">
        <v>299</v>
      </c>
      <c r="B63" s="157" t="s">
        <v>294</v>
      </c>
      <c r="C63" s="84"/>
      <c r="D63" s="84">
        <v>153205.76</v>
      </c>
      <c r="E63" s="84">
        <v>9074.37</v>
      </c>
      <c r="F63" s="84"/>
      <c r="G63" s="158"/>
      <c r="H63" s="158">
        <f>G63*(1+Parâmetros!F11)</f>
        <v>0</v>
      </c>
      <c r="I63" s="158">
        <f>H63*(1+Parâmetros!G11)</f>
        <v>0</v>
      </c>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row>
    <row r="64" spans="1:177" ht="12.75">
      <c r="A64" s="156" t="s">
        <v>300</v>
      </c>
      <c r="B64" s="157" t="s">
        <v>301</v>
      </c>
      <c r="C64" s="84"/>
      <c r="D64" s="84"/>
      <c r="E64" s="84"/>
      <c r="F64" s="84"/>
      <c r="G64" s="158">
        <f>(((D64*(1+Parâmetros!B11)*(1+Parâmetros!C11)*(1+Parâmetros!D11))+(E64*(1+Parâmetros!C11)*(1+Parâmetros!D11)+(F64*(1+Parâmetros!D11))))/3)*(1+Parâmetros!E11)</f>
        <v>0</v>
      </c>
      <c r="H64" s="158">
        <f>G64*(1+Parâmetros!F11)</f>
        <v>0</v>
      </c>
      <c r="I64" s="158">
        <f>H64*(1+Parâmetros!G11)</f>
        <v>0</v>
      </c>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row>
    <row r="65" spans="1:177" ht="12.75">
      <c r="A65" s="156" t="s">
        <v>302</v>
      </c>
      <c r="B65" s="157" t="s">
        <v>303</v>
      </c>
      <c r="C65" s="84">
        <v>6578.44</v>
      </c>
      <c r="D65" s="84">
        <v>8347.58</v>
      </c>
      <c r="E65" s="84"/>
      <c r="F65" s="84">
        <v>7235.8</v>
      </c>
      <c r="G65" s="158">
        <v>7814.66</v>
      </c>
      <c r="H65" s="158">
        <f>G65*(1+Parâmetros!F11)</f>
        <v>8205.393</v>
      </c>
      <c r="I65" s="158">
        <f>H65*(1+Parâmetros!G11)</f>
        <v>8615.66265</v>
      </c>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row>
    <row r="66" spans="1:177" ht="12.75">
      <c r="A66" s="156" t="s">
        <v>392</v>
      </c>
      <c r="B66" s="157" t="s">
        <v>393</v>
      </c>
      <c r="C66" s="84">
        <v>3694071.41</v>
      </c>
      <c r="D66" s="84">
        <v>3817536.35</v>
      </c>
      <c r="E66" s="84">
        <v>4784419.29</v>
      </c>
      <c r="F66" s="84">
        <v>5379213</v>
      </c>
      <c r="G66" s="158">
        <f>(((D66*(1+Parâmetros!B11)*(1+Parâmetros!C11)*(1+Parâmetros!D11))+(E66*(1+Parâmetros!C11)*(1+Parâmetros!D11)+(F66*(1+Parâmetros!D11))))/3)*(1+Parâmetros!E11)*(1+Parâmetros!E16)</f>
        <v>5590969.916019022</v>
      </c>
      <c r="H66" s="158">
        <f>G66*(1+Parâmetros!F11)*(1+Parâmetros!F16)</f>
        <v>5525132.931283573</v>
      </c>
      <c r="I66" s="158">
        <f>H66*(1+Parâmetros!G11)*(1+Parâmetros!G16)</f>
        <v>5565945.192031149</v>
      </c>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row>
    <row r="67" spans="1:177" ht="12.75">
      <c r="A67" s="156" t="s">
        <v>305</v>
      </c>
      <c r="B67" s="157" t="s">
        <v>306</v>
      </c>
      <c r="C67" s="84"/>
      <c r="D67" s="84"/>
      <c r="E67" s="84"/>
      <c r="F67" s="84"/>
      <c r="G67" s="158">
        <f>(((D67*(1+Parâmetros!B11)*(1+Parâmetros!C11)*(1+Parâmetros!D11))+(E67*(1+Parâmetros!C11)*(1+Parâmetros!D11)+(F67*(1+Parâmetros!D11))))/3)*(1+Parâmetros!E11)</f>
        <v>0</v>
      </c>
      <c r="H67" s="158">
        <f>G67*(1+Parâmetros!F11)</f>
        <v>0</v>
      </c>
      <c r="I67" s="158">
        <f>H67*(1+Parâmetros!G11)</f>
        <v>0</v>
      </c>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row>
    <row r="68" spans="1:177" ht="12.75">
      <c r="A68" s="156" t="s">
        <v>307</v>
      </c>
      <c r="B68" s="157" t="s">
        <v>308</v>
      </c>
      <c r="C68" s="84">
        <v>0</v>
      </c>
      <c r="D68" s="84">
        <v>0</v>
      </c>
      <c r="E68" s="84">
        <v>0</v>
      </c>
      <c r="F68" s="84">
        <v>0</v>
      </c>
      <c r="G68" s="158">
        <f>(((D68*(1+Parâmetros!B11)*(1+Parâmetros!C11)*(1+Parâmetros!D11))+(E68*(1+Parâmetros!C11)*(1+Parâmetros!D11)+(F68*(1+Parâmetros!D11))))/3)*(1+Parâmetros!E11)</f>
        <v>0</v>
      </c>
      <c r="H68" s="158">
        <f>G68*(1+Parâmetros!F11)</f>
        <v>0</v>
      </c>
      <c r="I68" s="158">
        <f>H68*(1+Parâmetros!G11)</f>
        <v>0</v>
      </c>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row>
    <row r="69" spans="1:177" s="7" customFormat="1" ht="12.75">
      <c r="A69" s="153" t="s">
        <v>309</v>
      </c>
      <c r="B69" s="154" t="s">
        <v>310</v>
      </c>
      <c r="C69" s="155">
        <f aca="true" t="shared" si="11" ref="C69:I69">C70+C71+C74</f>
        <v>363245.49</v>
      </c>
      <c r="D69" s="155">
        <f t="shared" si="11"/>
        <v>250297.73</v>
      </c>
      <c r="E69" s="155">
        <f t="shared" si="11"/>
        <v>318401.29</v>
      </c>
      <c r="F69" s="155">
        <f t="shared" si="11"/>
        <v>205000</v>
      </c>
      <c r="G69" s="155">
        <f t="shared" si="11"/>
        <v>227757.63738913173</v>
      </c>
      <c r="H69" s="155">
        <f t="shared" si="11"/>
        <v>239145.51925858832</v>
      </c>
      <c r="I69" s="155">
        <f t="shared" si="11"/>
        <v>251102.79522151774</v>
      </c>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row>
    <row r="70" spans="1:177" ht="12.75">
      <c r="A70" s="156" t="s">
        <v>311</v>
      </c>
      <c r="B70" s="157" t="s">
        <v>312</v>
      </c>
      <c r="C70" s="84"/>
      <c r="D70" s="84"/>
      <c r="E70" s="84"/>
      <c r="F70" s="84"/>
      <c r="G70" s="158">
        <f>(((D70*(1+Parâmetros!B11)*(1+Parâmetros!C11)*(1+Parâmetros!D11))+(E70*(1+Parâmetros!C11)*(1+Parâmetros!D11)+(F70*(1+Parâmetros!D11))))/3)*(1+Parâmetros!E11)</f>
        <v>0</v>
      </c>
      <c r="H70" s="158">
        <f>G70*(1+Parâmetros!F11)</f>
        <v>0</v>
      </c>
      <c r="I70" s="158">
        <f>H70*(1+Parâmetros!G11)</f>
        <v>0</v>
      </c>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row>
    <row r="71" spans="1:177" ht="12.75">
      <c r="A71" s="254" t="s">
        <v>313</v>
      </c>
      <c r="B71" s="255" t="s">
        <v>314</v>
      </c>
      <c r="C71" s="256">
        <f aca="true" t="shared" si="12" ref="C71:I71">C72+C73</f>
        <v>9379.99</v>
      </c>
      <c r="D71" s="256">
        <f t="shared" si="12"/>
        <v>6252.1</v>
      </c>
      <c r="E71" s="256">
        <f t="shared" si="12"/>
        <v>16960.79</v>
      </c>
      <c r="F71" s="256">
        <f t="shared" si="12"/>
        <v>5000</v>
      </c>
      <c r="G71" s="256">
        <f t="shared" si="12"/>
        <v>11757.637389131745</v>
      </c>
      <c r="H71" s="256">
        <f t="shared" si="12"/>
        <v>12345.519258588332</v>
      </c>
      <c r="I71" s="256">
        <f t="shared" si="12"/>
        <v>12962.79522151775</v>
      </c>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row>
    <row r="72" spans="1:177" ht="12.75">
      <c r="A72" s="156" t="s">
        <v>482</v>
      </c>
      <c r="B72" s="157" t="s">
        <v>483</v>
      </c>
      <c r="C72" s="84"/>
      <c r="D72" s="84"/>
      <c r="E72" s="84"/>
      <c r="F72" s="84"/>
      <c r="G72" s="256">
        <f>(((D72*(1+Parâmetros!B11)*(1+Parâmetros!C11)*(1+Parâmetros!D11))+(E72*(1+Parâmetros!C11)*(1+Parâmetros!D11)+(F72*(1+Parâmetros!D11))))/3)*(1+Parâmetros!E11)</f>
        <v>0</v>
      </c>
      <c r="H72" s="256">
        <f>G72*(1+Parâmetros!F11)</f>
        <v>0</v>
      </c>
      <c r="I72" s="256">
        <f>H72*(1+Parâmetros!G11)</f>
        <v>0</v>
      </c>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row>
    <row r="73" spans="1:177" ht="12.75">
      <c r="A73" s="156" t="s">
        <v>484</v>
      </c>
      <c r="B73" s="157" t="s">
        <v>485</v>
      </c>
      <c r="C73" s="84">
        <v>9379.99</v>
      </c>
      <c r="D73" s="84">
        <v>6252.1</v>
      </c>
      <c r="E73" s="84">
        <v>16960.79</v>
      </c>
      <c r="F73" s="84">
        <v>5000</v>
      </c>
      <c r="G73" s="256">
        <f>(((D73*(1+Parâmetros!B11)*(1+Parâmetros!C11)*(1+Parâmetros!D11))+(E73*(1+Parâmetros!C11)*(1+Parâmetros!D11)+(F73*(1+Parâmetros!D11))))/3)*(1+Parâmetros!E11)</f>
        <v>11757.637389131745</v>
      </c>
      <c r="H73" s="256">
        <f>G73*(1+Parâmetros!F11)</f>
        <v>12345.519258588332</v>
      </c>
      <c r="I73" s="256">
        <f>H73*(1+Parâmetros!G11)</f>
        <v>12962.79522151775</v>
      </c>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row>
    <row r="74" spans="1:177" s="7" customFormat="1" ht="12.75">
      <c r="A74" s="153" t="s">
        <v>315</v>
      </c>
      <c r="B74" s="154" t="s">
        <v>316</v>
      </c>
      <c r="C74" s="155">
        <f aca="true" t="shared" si="13" ref="C74:I74">C75+C76+C77+C78+C79+C80</f>
        <v>353865.5</v>
      </c>
      <c r="D74" s="155">
        <f t="shared" si="13"/>
        <v>244045.63</v>
      </c>
      <c r="E74" s="155">
        <f t="shared" si="13"/>
        <v>301440.5</v>
      </c>
      <c r="F74" s="155">
        <f t="shared" si="13"/>
        <v>200000</v>
      </c>
      <c r="G74" s="155">
        <f t="shared" si="13"/>
        <v>216000</v>
      </c>
      <c r="H74" s="155">
        <f t="shared" si="13"/>
        <v>226800</v>
      </c>
      <c r="I74" s="155">
        <f t="shared" si="13"/>
        <v>238140</v>
      </c>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row>
    <row r="75" spans="1:177" ht="25.5">
      <c r="A75" s="156" t="s">
        <v>317</v>
      </c>
      <c r="B75" s="157" t="s">
        <v>318</v>
      </c>
      <c r="C75" s="84"/>
      <c r="D75" s="84"/>
      <c r="E75" s="84"/>
      <c r="F75" s="84"/>
      <c r="G75" s="158">
        <f>(((D75*(1+Parâmetros!B11)*(1+Parâmetros!C11)*(1+Parâmetros!D11))+(E75*(1+Parâmetros!C11)*(1+Parâmetros!D11)+(F75*(1+Parâmetros!D11))))/3)*(1+Parâmetros!E11)</f>
        <v>0</v>
      </c>
      <c r="H75" s="158">
        <f>G75*(1+Parâmetros!F11)</f>
        <v>0</v>
      </c>
      <c r="I75" s="158">
        <f>H75*(1+Parâmetros!G11)</f>
        <v>0</v>
      </c>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row>
    <row r="76" spans="1:177" ht="12.75">
      <c r="A76" s="156" t="s">
        <v>319</v>
      </c>
      <c r="B76" s="157" t="s">
        <v>320</v>
      </c>
      <c r="C76" s="84">
        <v>0</v>
      </c>
      <c r="D76" s="84">
        <v>0</v>
      </c>
      <c r="E76" s="84">
        <v>0</v>
      </c>
      <c r="F76" s="84">
        <v>0</v>
      </c>
      <c r="G76" s="158">
        <f>(((D76*(1+Parâmetros!B11)*(1+Parâmetros!C11)*(1+Parâmetros!D11))+(E76*(1+Parâmetros!C11)*(1+Parâmetros!D11)+(F76*(1+Parâmetros!D11))))/3)*(1+Parâmetros!E11)</f>
        <v>0</v>
      </c>
      <c r="H76" s="158">
        <f>G76*(1+Parâmetros!F11)</f>
        <v>0</v>
      </c>
      <c r="I76" s="158">
        <f>H76*(1+Parâmetros!G11)</f>
        <v>0</v>
      </c>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row>
    <row r="77" spans="1:177" ht="12.75">
      <c r="A77" s="156" t="s">
        <v>486</v>
      </c>
      <c r="B77" s="157" t="s">
        <v>487</v>
      </c>
      <c r="C77" s="84">
        <v>0</v>
      </c>
      <c r="D77" s="84">
        <v>0</v>
      </c>
      <c r="E77" s="84">
        <v>0</v>
      </c>
      <c r="F77" s="84">
        <v>0</v>
      </c>
      <c r="G77" s="158">
        <f>((C77+D77+E77+F77)/4)/Parâmetros!D22*Parâmetros!E22</f>
        <v>0</v>
      </c>
      <c r="H77" s="158">
        <f>((D77+E77+F77+G77)/4)/Parâmetros!E22*Parâmetros!F22</f>
        <v>0</v>
      </c>
      <c r="I77" s="158">
        <f>((E77+F77+G77+H77)/4)/Parâmetros!F22*Parâmetros!G22</f>
        <v>0</v>
      </c>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row>
    <row r="78" spans="1:177" ht="12.75">
      <c r="A78" s="156" t="s">
        <v>321</v>
      </c>
      <c r="B78" s="157" t="s">
        <v>322</v>
      </c>
      <c r="C78" s="84">
        <v>0</v>
      </c>
      <c r="D78" s="84">
        <v>0</v>
      </c>
      <c r="E78" s="84">
        <v>0</v>
      </c>
      <c r="F78" s="84">
        <v>0</v>
      </c>
      <c r="G78" s="158">
        <f>(((D78*(1+Parâmetros!B11)*(1+Parâmetros!C11)*(1+Parâmetros!D11))+(E78*(1+Parâmetros!C11)*(1+Parâmetros!D11)+(F78*(1+Parâmetros!D11))))/3)*(1+Parâmetros!E11)</f>
        <v>0</v>
      </c>
      <c r="H78" s="158">
        <f>G78*(1+Parâmetros!F11)</f>
        <v>0</v>
      </c>
      <c r="I78" s="158">
        <f>H78*(1+Parâmetros!G11)</f>
        <v>0</v>
      </c>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row>
    <row r="79" spans="1:177" ht="12.75">
      <c r="A79" s="156" t="s">
        <v>488</v>
      </c>
      <c r="B79" s="157" t="s">
        <v>489</v>
      </c>
      <c r="C79" s="84">
        <v>0</v>
      </c>
      <c r="D79" s="84">
        <v>0</v>
      </c>
      <c r="E79" s="84">
        <v>0</v>
      </c>
      <c r="F79" s="84">
        <v>0</v>
      </c>
      <c r="G79" s="158">
        <f>((C79+D79+E79+F79)/4)*(1+Parâmetros!E11)</f>
        <v>0</v>
      </c>
      <c r="H79" s="158">
        <f>((D79+E79+F79+G79)/4)*(1+Parâmetros!F11)</f>
        <v>0</v>
      </c>
      <c r="I79" s="158">
        <f>((E79+F79+G79+H79)/4)*(1+Parâmetros!G11)</f>
        <v>0</v>
      </c>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row>
    <row r="80" spans="1:177" ht="12.75">
      <c r="A80" s="156" t="s">
        <v>323</v>
      </c>
      <c r="B80" s="157" t="s">
        <v>490</v>
      </c>
      <c r="C80" s="84">
        <v>353865.5</v>
      </c>
      <c r="D80" s="84">
        <v>244045.63</v>
      </c>
      <c r="E80" s="84">
        <v>301440.5</v>
      </c>
      <c r="F80" s="84">
        <v>200000</v>
      </c>
      <c r="G80" s="158">
        <v>216000</v>
      </c>
      <c r="H80" s="158">
        <f>G80*(1+Parâmetros!F11)</f>
        <v>226800</v>
      </c>
      <c r="I80" s="158">
        <f>H80*(1+Parâmetros!G11)</f>
        <v>238140</v>
      </c>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row>
    <row r="81" spans="1:177" s="10" customFormat="1" ht="18">
      <c r="A81" s="153" t="s">
        <v>324</v>
      </c>
      <c r="B81" s="154" t="s">
        <v>325</v>
      </c>
      <c r="C81" s="155">
        <f aca="true" t="shared" si="14" ref="C81:I81">C82+C85+C90+C91+C99</f>
        <v>273621</v>
      </c>
      <c r="D81" s="155">
        <f t="shared" si="14"/>
        <v>17576.02</v>
      </c>
      <c r="E81" s="155">
        <f t="shared" si="14"/>
        <v>264093.77999999997</v>
      </c>
      <c r="F81" s="155">
        <f>F82+F84+F85+F90+F91+F99</f>
        <v>1022396.57</v>
      </c>
      <c r="G81" s="155">
        <f>G82+G83+G84+G85+G90+G91+G99</f>
        <v>3021637.325944184</v>
      </c>
      <c r="H81" s="155">
        <f t="shared" si="14"/>
        <v>22719.192241393048</v>
      </c>
      <c r="I81" s="155">
        <f t="shared" si="14"/>
        <v>23855.151853462703</v>
      </c>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s="101"/>
      <c r="EP81" s="101"/>
      <c r="EQ81" s="101"/>
      <c r="ER81" s="101"/>
      <c r="ES81" s="101"/>
      <c r="ET81" s="101"/>
      <c r="EU81" s="101"/>
      <c r="EV81" s="101"/>
      <c r="EW81" s="101"/>
      <c r="EX81" s="101"/>
      <c r="EY81" s="101"/>
      <c r="EZ81" s="101"/>
      <c r="FA81" s="101"/>
      <c r="FB81" s="101"/>
      <c r="FC81" s="101"/>
      <c r="FD81" s="101"/>
      <c r="FE81" s="101"/>
      <c r="FF81" s="101"/>
      <c r="FG81" s="101"/>
      <c r="FH81" s="101"/>
      <c r="FI81" s="101"/>
      <c r="FJ81" s="101"/>
      <c r="FK81" s="101"/>
      <c r="FL81" s="101"/>
      <c r="FM81" s="101"/>
      <c r="FN81" s="101"/>
      <c r="FO81" s="101"/>
      <c r="FP81" s="101"/>
      <c r="FQ81" s="101"/>
      <c r="FR81" s="101"/>
      <c r="FS81" s="101"/>
      <c r="FT81" s="101"/>
      <c r="FU81" s="101"/>
    </row>
    <row r="82" spans="1:9" s="85" customFormat="1" ht="12.75">
      <c r="A82" s="156" t="s">
        <v>326</v>
      </c>
      <c r="B82" s="157" t="s">
        <v>327</v>
      </c>
      <c r="C82" s="84"/>
      <c r="D82" s="84"/>
      <c r="E82" s="84"/>
      <c r="F82" s="84">
        <v>1000000</v>
      </c>
      <c r="G82" s="158">
        <v>3000000</v>
      </c>
      <c r="H82" s="158">
        <f>Dívida!F20</f>
        <v>0</v>
      </c>
      <c r="I82" s="158">
        <f>Dívida!G20</f>
        <v>0</v>
      </c>
    </row>
    <row r="83" spans="1:9" s="85" customFormat="1" ht="12.75">
      <c r="A83" s="156" t="s">
        <v>692</v>
      </c>
      <c r="B83" s="157" t="s">
        <v>695</v>
      </c>
      <c r="C83" s="84"/>
      <c r="D83" s="84"/>
      <c r="E83" s="84"/>
      <c r="F83" s="84"/>
      <c r="G83" s="158"/>
      <c r="H83" s="158"/>
      <c r="I83" s="158"/>
    </row>
    <row r="84" spans="1:9" s="85" customFormat="1" ht="12.75">
      <c r="A84" s="156" t="s">
        <v>693</v>
      </c>
      <c r="B84" s="157" t="s">
        <v>694</v>
      </c>
      <c r="C84" s="84"/>
      <c r="D84" s="84"/>
      <c r="E84" s="84"/>
      <c r="F84" s="84"/>
      <c r="G84" s="158"/>
      <c r="H84" s="158"/>
      <c r="I84" s="158"/>
    </row>
    <row r="85" spans="1:177" s="7" customFormat="1" ht="12.75">
      <c r="A85" s="153" t="s">
        <v>328</v>
      </c>
      <c r="B85" s="154" t="s">
        <v>329</v>
      </c>
      <c r="C85" s="155">
        <f aca="true" t="shared" si="15" ref="C85:I85">C86+C87+C88+C89</f>
        <v>23626</v>
      </c>
      <c r="D85" s="155">
        <f t="shared" si="15"/>
        <v>17576.02</v>
      </c>
      <c r="E85" s="155">
        <f t="shared" si="15"/>
        <v>264093.77999999997</v>
      </c>
      <c r="F85" s="155">
        <f t="shared" si="15"/>
        <v>22396.57</v>
      </c>
      <c r="G85" s="155">
        <f t="shared" si="15"/>
        <v>21637.325944183853</v>
      </c>
      <c r="H85" s="155">
        <f t="shared" si="15"/>
        <v>22719.192241393048</v>
      </c>
      <c r="I85" s="155">
        <f t="shared" si="15"/>
        <v>23855.151853462703</v>
      </c>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row>
    <row r="86" spans="1:177" s="7" customFormat="1" ht="12.75">
      <c r="A86" s="156" t="s">
        <v>491</v>
      </c>
      <c r="B86" s="157" t="s">
        <v>492</v>
      </c>
      <c r="C86" s="84"/>
      <c r="D86" s="84"/>
      <c r="E86" s="84"/>
      <c r="F86" s="84"/>
      <c r="G86" s="158">
        <f>((C86+D86+E86+F86)/4)*(1+Parâmetros!E11)</f>
        <v>0</v>
      </c>
      <c r="H86" s="158">
        <f>((D86+E86+F86+G86)/4)*(1+Parâmetros!F11)</f>
        <v>0</v>
      </c>
      <c r="I86" s="158">
        <f>((E86+F86+G86+H86)/4)*(1+Parâmetros!G11)</f>
        <v>0</v>
      </c>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row>
    <row r="87" spans="1:177" s="7" customFormat="1" ht="12.75">
      <c r="A87" s="156" t="s">
        <v>493</v>
      </c>
      <c r="B87" s="157" t="s">
        <v>494</v>
      </c>
      <c r="C87" s="257">
        <v>0</v>
      </c>
      <c r="D87" s="257">
        <v>0</v>
      </c>
      <c r="E87" s="257">
        <v>0</v>
      </c>
      <c r="F87" s="257">
        <v>0</v>
      </c>
      <c r="G87" s="158">
        <f>((C87+D87+E87+F87)/4)*(1+Parâmetros!E11)</f>
        <v>0</v>
      </c>
      <c r="H87" s="158">
        <f>((D87+E87+F87+G87)/4)*(1+Parâmetros!F11)</f>
        <v>0</v>
      </c>
      <c r="I87" s="158">
        <f>((E87+F87+G87+H87)/4)*(1+Parâmetros!G11)</f>
        <v>0</v>
      </c>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row>
    <row r="88" spans="1:9" s="85" customFormat="1" ht="12.75">
      <c r="A88" s="156" t="s">
        <v>330</v>
      </c>
      <c r="B88" s="157" t="s">
        <v>331</v>
      </c>
      <c r="C88" s="84"/>
      <c r="D88" s="84"/>
      <c r="E88" s="84">
        <v>251215.08</v>
      </c>
      <c r="F88" s="84"/>
      <c r="G88" s="158"/>
      <c r="H88" s="158">
        <f>G88*(1+Parâmetros!F11)</f>
        <v>0</v>
      </c>
      <c r="I88" s="158">
        <f>H88*(1+Parâmetros!G11)</f>
        <v>0</v>
      </c>
    </row>
    <row r="89" spans="1:9" s="85" customFormat="1" ht="12.75">
      <c r="A89" s="156" t="s">
        <v>332</v>
      </c>
      <c r="B89" s="157" t="s">
        <v>333</v>
      </c>
      <c r="C89" s="84">
        <v>23626</v>
      </c>
      <c r="D89" s="84">
        <v>17576.02</v>
      </c>
      <c r="E89" s="84">
        <v>12878.7</v>
      </c>
      <c r="F89" s="84">
        <v>22396.57</v>
      </c>
      <c r="G89" s="158">
        <f>(((D89*(1+Parâmetros!B11)*(1+Parâmetros!C11)*(1+Parâmetros!D11))+(E89*(1+Parâmetros!C11)*(1+Parâmetros!D11)+(F89*(1+Parâmetros!D11))))/3)*(1+Parâmetros!E11)</f>
        <v>21637.325944183853</v>
      </c>
      <c r="H89" s="158">
        <f>G89*(1+Parâmetros!F11)</f>
        <v>22719.192241393048</v>
      </c>
      <c r="I89" s="158">
        <f>H89*(1+Parâmetros!G11)</f>
        <v>23855.151853462703</v>
      </c>
    </row>
    <row r="90" spans="1:9" s="85" customFormat="1" ht="12.75">
      <c r="A90" s="156" t="s">
        <v>334</v>
      </c>
      <c r="B90" s="157" t="s">
        <v>335</v>
      </c>
      <c r="C90" s="84">
        <v>0</v>
      </c>
      <c r="D90" s="84">
        <v>0</v>
      </c>
      <c r="E90" s="84">
        <v>0</v>
      </c>
      <c r="F90" s="84">
        <v>0</v>
      </c>
      <c r="G90" s="158">
        <f>(((D90*(1+Parâmetros!B11)*(1+Parâmetros!C11)*(1+Parâmetros!D11))+(E90*(1+Parâmetros!C11)*(1+Parâmetros!D11)+(F90*(1+Parâmetros!D11))))/3)*(1+Parâmetros!E11)</f>
        <v>0</v>
      </c>
      <c r="H90" s="158">
        <f>G90*(1+Parâmetros!F11)</f>
        <v>0</v>
      </c>
      <c r="I90" s="158">
        <f>H90*(1+Parâmetros!G11)</f>
        <v>0</v>
      </c>
    </row>
    <row r="91" spans="1:177" s="7" customFormat="1" ht="12.75">
      <c r="A91" s="153" t="s">
        <v>336</v>
      </c>
      <c r="B91" s="154" t="s">
        <v>337</v>
      </c>
      <c r="C91" s="155">
        <f aca="true" t="shared" si="16" ref="C91:I91">C92+C93+C94+C95+C96+C97+C98</f>
        <v>249995</v>
      </c>
      <c r="D91" s="155">
        <f t="shared" si="16"/>
        <v>0</v>
      </c>
      <c r="E91" s="155">
        <f t="shared" si="16"/>
        <v>0</v>
      </c>
      <c r="F91" s="155">
        <f t="shared" si="16"/>
        <v>0</v>
      </c>
      <c r="G91" s="155">
        <f t="shared" si="16"/>
        <v>0</v>
      </c>
      <c r="H91" s="155">
        <f t="shared" si="16"/>
        <v>0</v>
      </c>
      <c r="I91" s="155">
        <f t="shared" si="16"/>
        <v>0</v>
      </c>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row>
    <row r="92" spans="1:177" ht="12.75">
      <c r="A92" s="156" t="s">
        <v>338</v>
      </c>
      <c r="B92" s="157" t="s">
        <v>259</v>
      </c>
      <c r="C92" s="84"/>
      <c r="D92" s="84"/>
      <c r="E92" s="84"/>
      <c r="F92" s="84"/>
      <c r="G92" s="158">
        <f>(((D92*(1+Parâmetros!B11)*(1+Parâmetros!C11)*(1+Parâmetros!D11))+(E92*(1+Parâmetros!C11)*(1+Parâmetros!D11)+(F92*(1+Parâmetros!D11))))/3)*(1+Parâmetros!E11)*(1+Parâmetros!E12)</f>
        <v>0</v>
      </c>
      <c r="H92" s="158">
        <f>G92*(1+Parâmetros!F11)*(1+Parâmetros!F12)</f>
        <v>0</v>
      </c>
      <c r="I92" s="158">
        <f>H92*(1+Parâmetros!G11)*(1+Parâmetros!G12)</f>
        <v>0</v>
      </c>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row>
    <row r="93" spans="1:177" ht="12.75">
      <c r="A93" s="156" t="s">
        <v>339</v>
      </c>
      <c r="B93" s="157" t="s">
        <v>280</v>
      </c>
      <c r="C93" s="84">
        <v>249995</v>
      </c>
      <c r="D93" s="84"/>
      <c r="E93" s="84"/>
      <c r="F93" s="84"/>
      <c r="G93" s="158">
        <f>(((D93*(1+Parâmetros!B11)*(1+Parâmetros!C11)*(1+Parâmetros!D11))+(E93*(1+Parâmetros!C11)*(1+Parâmetros!D11)+(F93*(1+Parâmetros!D11))))/3)*(1+Parâmetros!E11)*(1+Parâmetros!E12)</f>
        <v>0</v>
      </c>
      <c r="H93" s="158">
        <f>G93*(1+Parâmetros!F11)*(1+Parâmetros!F12)</f>
        <v>0</v>
      </c>
      <c r="I93" s="158">
        <f>H93*(1+Parâmetros!G11)*(1+Parâmetros!G12)</f>
        <v>0</v>
      </c>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row>
    <row r="94" spans="1:177" ht="12.75">
      <c r="A94" s="156" t="s">
        <v>340</v>
      </c>
      <c r="B94" s="157" t="s">
        <v>301</v>
      </c>
      <c r="C94" s="84"/>
      <c r="D94" s="84"/>
      <c r="E94" s="84"/>
      <c r="F94" s="84"/>
      <c r="G94" s="158">
        <f>(((D94*(1+Parâmetros!B11)*(1+Parâmetros!C11)*(1+Parâmetros!D11))+(E94*(1+Parâmetros!C11)*(1+Parâmetros!D11)+(F94*(1+Parâmetros!D11))))/3)*(1+Parâmetros!E11)*(1+Parâmetros!E12)</f>
        <v>0</v>
      </c>
      <c r="H94" s="158">
        <f>G94*(1+Parâmetros!F11)*(1+Parâmetros!F12)</f>
        <v>0</v>
      </c>
      <c r="I94" s="158">
        <f>H94*(1+Parâmetros!G11)*(1+Parâmetros!G12)</f>
        <v>0</v>
      </c>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5"/>
      <c r="FU94" s="85"/>
    </row>
    <row r="95" spans="1:177" ht="12.75">
      <c r="A95" s="156" t="s">
        <v>341</v>
      </c>
      <c r="B95" s="157" t="s">
        <v>303</v>
      </c>
      <c r="C95" s="84"/>
      <c r="D95" s="84"/>
      <c r="E95" s="84"/>
      <c r="F95" s="84"/>
      <c r="G95" s="158">
        <f>(((D95*(1+Parâmetros!B11)*(1+Parâmetros!C11)*(1+Parâmetros!D11))+(E95*(1+Parâmetros!C11)*(1+Parâmetros!D11)+(F95*(1+Parâmetros!D11))))/3)*(1+Parâmetros!E11)*(1+Parâmetros!E12)</f>
        <v>0</v>
      </c>
      <c r="H95" s="158">
        <f>G95*(1+Parâmetros!F11)*(1+Parâmetros!F12)</f>
        <v>0</v>
      </c>
      <c r="I95" s="158">
        <f>H95*(1+Parâmetros!G11)*(1+Parâmetros!G12)</f>
        <v>0</v>
      </c>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row>
    <row r="96" spans="1:177" ht="12.75">
      <c r="A96" s="156" t="s">
        <v>342</v>
      </c>
      <c r="B96" s="157" t="s">
        <v>304</v>
      </c>
      <c r="C96" s="84"/>
      <c r="D96" s="84"/>
      <c r="E96" s="84"/>
      <c r="F96" s="84"/>
      <c r="G96" s="158">
        <f>(((D96*(1+Parâmetros!B11)*(1+Parâmetros!C11)*(1+Parâmetros!D11))+(E96*(1+Parâmetros!C11)*(1+Parâmetros!D11)+(F96*(1+Parâmetros!D11))))/3)*(1+Parâmetros!E11)*(1+Parâmetros!E12)</f>
        <v>0</v>
      </c>
      <c r="H96" s="158">
        <f>G96:G97*(1+Parâmetros!F11)*(1+Parâmetros!F12)</f>
        <v>0</v>
      </c>
      <c r="I96" s="158">
        <f>H96:H97*(1+Parâmetros!G11)*(1+Parâmetros!G12)</f>
        <v>0</v>
      </c>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row>
    <row r="97" spans="1:177" ht="12.75">
      <c r="A97" s="156" t="s">
        <v>343</v>
      </c>
      <c r="B97" s="157" t="s">
        <v>306</v>
      </c>
      <c r="C97" s="84"/>
      <c r="D97" s="84"/>
      <c r="E97" s="84"/>
      <c r="F97" s="84"/>
      <c r="G97" s="158">
        <f>(((D97*(1+Parâmetros!B11)*(1+Parâmetros!C11)*(1+Parâmetros!D11))+(E97*(1+Parâmetros!C11)*(1+Parâmetros!D11)+(F97*(1+Parâmetros!D11))))/3)*(1+Parâmetros!E11)*(1+Parâmetros!E12)</f>
        <v>0</v>
      </c>
      <c r="H97" s="158">
        <f>G97*(1+Parâmetros!F11)*(1+Parâmetros!F12)</f>
        <v>0</v>
      </c>
      <c r="I97" s="158">
        <f>H97*(1+Parâmetros!G11)*(1+Parâmetros!G12)</f>
        <v>0</v>
      </c>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row>
    <row r="98" spans="1:177" ht="12.75">
      <c r="A98" s="156" t="s">
        <v>344</v>
      </c>
      <c r="B98" s="157" t="s">
        <v>308</v>
      </c>
      <c r="C98" s="84"/>
      <c r="D98" s="84"/>
      <c r="E98" s="84"/>
      <c r="F98" s="84"/>
      <c r="G98" s="158">
        <f>(((D98*(1+Parâmetros!B11)*(1+Parâmetros!C11)*(1+Parâmetros!D11))+(E98*(1+Parâmetros!C11)*(1+Parâmetros!D11)+(F98*(1+Parâmetros!D11))))/3)*(1+Parâmetros!E11)*(1+Parâmetros!E12)</f>
        <v>0</v>
      </c>
      <c r="H98" s="158">
        <f>G98*(1+Parâmetros!F11)*(1+Parâmetros!F12)</f>
        <v>0</v>
      </c>
      <c r="I98" s="158">
        <f>H98*(1+Parâmetros!G11)*(1+Parâmetros!G12)</f>
        <v>0</v>
      </c>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row>
    <row r="99" spans="1:177" s="7" customFormat="1" ht="12.75">
      <c r="A99" s="153" t="s">
        <v>345</v>
      </c>
      <c r="B99" s="154" t="s">
        <v>346</v>
      </c>
      <c r="C99" s="155">
        <f aca="true" t="shared" si="17" ref="C99:I99">C100+C101</f>
        <v>0</v>
      </c>
      <c r="D99" s="155">
        <f t="shared" si="17"/>
        <v>0</v>
      </c>
      <c r="E99" s="155">
        <f t="shared" si="17"/>
        <v>0</v>
      </c>
      <c r="F99" s="155">
        <f t="shared" si="17"/>
        <v>0</v>
      </c>
      <c r="G99" s="155">
        <f t="shared" si="17"/>
        <v>0</v>
      </c>
      <c r="H99" s="155">
        <f t="shared" si="17"/>
        <v>0</v>
      </c>
      <c r="I99" s="155">
        <f t="shared" si="17"/>
        <v>0</v>
      </c>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row>
    <row r="100" spans="1:177" ht="12.75">
      <c r="A100" s="156" t="s">
        <v>347</v>
      </c>
      <c r="B100" s="159" t="s">
        <v>348</v>
      </c>
      <c r="C100" s="84">
        <v>0</v>
      </c>
      <c r="D100" s="84">
        <v>0</v>
      </c>
      <c r="E100" s="84">
        <v>0</v>
      </c>
      <c r="F100" s="84">
        <v>0</v>
      </c>
      <c r="G100" s="158">
        <f>(((D100*(1+Parâmetros!B11)*(1+Parâmetros!C11)*(1+Parâmetros!D11))+(E100*(1+Parâmetros!C11)*(1+Parâmetros!D11)+(F100*(1+Parâmetros!D11))))/3)*(1+Parâmetros!E11)</f>
        <v>0</v>
      </c>
      <c r="H100" s="158">
        <f>G100*(1+Parâmetros!F11)</f>
        <v>0</v>
      </c>
      <c r="I100" s="158">
        <f>H100*(1+Parâmetros!G11)</f>
        <v>0</v>
      </c>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row>
    <row r="101" spans="1:177" ht="12.75">
      <c r="A101" s="156" t="s">
        <v>349</v>
      </c>
      <c r="B101" s="159" t="s">
        <v>350</v>
      </c>
      <c r="C101" s="84"/>
      <c r="D101" s="84"/>
      <c r="E101" s="84"/>
      <c r="F101" s="84"/>
      <c r="G101" s="158">
        <f>(((D101*(1+Parâmetros!B11)*(1+Parâmetros!C11)*(1+Parâmetros!D11))+(E101*(1+Parâmetros!C11)*(1+Parâmetros!D11)+(F101*(1+Parâmetros!D11))))/3)*(1+Parâmetros!E11)</f>
        <v>0</v>
      </c>
      <c r="H101" s="158">
        <f>G101*(1+Parâmetros!F11)</f>
        <v>0</v>
      </c>
      <c r="I101" s="158">
        <f>H101*(1+Parâmetros!G11)</f>
        <v>0</v>
      </c>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row>
    <row r="102" spans="1:9" s="88" customFormat="1" ht="18">
      <c r="A102" s="368" t="s">
        <v>351</v>
      </c>
      <c r="B102" s="154" t="s">
        <v>561</v>
      </c>
      <c r="C102" s="155">
        <f aca="true" t="shared" si="18" ref="C102:I102">C103+C104</f>
        <v>0</v>
      </c>
      <c r="D102" s="155">
        <f t="shared" si="18"/>
        <v>0</v>
      </c>
      <c r="E102" s="155">
        <f t="shared" si="18"/>
        <v>0</v>
      </c>
      <c r="F102" s="155">
        <f t="shared" si="18"/>
        <v>0</v>
      </c>
      <c r="G102" s="155">
        <f t="shared" si="18"/>
        <v>0</v>
      </c>
      <c r="H102" s="155">
        <f t="shared" si="18"/>
        <v>0</v>
      </c>
      <c r="I102" s="155">
        <f t="shared" si="18"/>
        <v>0</v>
      </c>
    </row>
    <row r="103" spans="1:9" s="88" customFormat="1" ht="18">
      <c r="A103" s="160" t="s">
        <v>351</v>
      </c>
      <c r="B103" s="157" t="s">
        <v>596</v>
      </c>
      <c r="C103" s="84"/>
      <c r="D103" s="84"/>
      <c r="E103" s="84"/>
      <c r="F103" s="84"/>
      <c r="G103" s="158">
        <f>(((D103*(1+Parâmetros!B11)*(1+Parâmetros!C11)*(1+Parâmetros!D11))+(E103*(1+Parâmetros!C11)*(1+Parâmetros!D11)+(F103*(1+Parâmetros!D11))))/3)*(1+Parâmetros!E11)*(1+Parâmetros!E13)*(1+Parâmetros!E18)</f>
        <v>0</v>
      </c>
      <c r="H103" s="158">
        <f>G103*(1+Parâmetros!F11)*(1+Parâmetros!F13)*(1+Parâmetros!F18)</f>
        <v>0</v>
      </c>
      <c r="I103" s="158">
        <f>H103*(1+Parâmetros!G11)*(1+Parâmetros!G13)*(1+Parâmetros!G18)</f>
        <v>0</v>
      </c>
    </row>
    <row r="104" spans="1:9" s="88" customFormat="1" ht="18">
      <c r="A104" s="160" t="s">
        <v>351</v>
      </c>
      <c r="B104" s="157" t="s">
        <v>597</v>
      </c>
      <c r="C104" s="84"/>
      <c r="D104" s="84"/>
      <c r="E104" s="84"/>
      <c r="F104" s="84"/>
      <c r="G104" s="158">
        <f>(((D104*(1+Parâmetros!B11)*(1+Parâmetros!C11)*(1+Parâmetros!D11))+(E104*(1+Parâmetros!C11)*(1+Parâmetros!D11)+(F104*(1+Parâmetros!D11))))/3)*(1+Parâmetros!E11)</f>
        <v>0</v>
      </c>
      <c r="H104" s="158">
        <f>G104*(1+Parâmetros!F11)</f>
        <v>0</v>
      </c>
      <c r="I104" s="158">
        <f>H104*(1+Parâmetros!G11)</f>
        <v>0</v>
      </c>
    </row>
    <row r="105" spans="1:9" s="88" customFormat="1" ht="18">
      <c r="A105" s="153" t="s">
        <v>352</v>
      </c>
      <c r="B105" s="154" t="s">
        <v>353</v>
      </c>
      <c r="C105" s="155">
        <f aca="true" t="shared" si="19" ref="C105:I105">C106+C107</f>
        <v>0</v>
      </c>
      <c r="D105" s="155">
        <f t="shared" si="19"/>
        <v>0</v>
      </c>
      <c r="E105" s="155">
        <f t="shared" si="19"/>
        <v>0</v>
      </c>
      <c r="F105" s="155">
        <f t="shared" si="19"/>
        <v>0</v>
      </c>
      <c r="G105" s="155">
        <f t="shared" si="19"/>
        <v>0</v>
      </c>
      <c r="H105" s="155">
        <f t="shared" si="19"/>
        <v>0</v>
      </c>
      <c r="I105" s="155">
        <f t="shared" si="19"/>
        <v>0</v>
      </c>
    </row>
    <row r="106" spans="1:9" s="88" customFormat="1" ht="18">
      <c r="A106" s="156" t="s">
        <v>352</v>
      </c>
      <c r="B106" s="157" t="s">
        <v>598</v>
      </c>
      <c r="C106" s="84"/>
      <c r="D106" s="84"/>
      <c r="E106" s="84"/>
      <c r="F106" s="84"/>
      <c r="G106" s="158">
        <f>(((D106*(1+Parâmetros!B11)*(1+Parâmetros!C11)*(1+Parâmetros!D11))+(E106*(1+Parâmetros!C11)*(1+Parâmetros!D11)+(F106*(1+Parâmetros!D11))))/3)*(1+Parâmetros!E11)</f>
        <v>0</v>
      </c>
      <c r="H106" s="158">
        <f>G106*(1+Parâmetros!F11)</f>
        <v>0</v>
      </c>
      <c r="I106" s="158">
        <f>H106*(1+Parâmetros!G11)</f>
        <v>0</v>
      </c>
    </row>
    <row r="107" spans="1:9" s="88" customFormat="1" ht="18">
      <c r="A107" s="156" t="s">
        <v>352</v>
      </c>
      <c r="B107" s="157" t="s">
        <v>599</v>
      </c>
      <c r="C107" s="84"/>
      <c r="D107" s="84"/>
      <c r="E107" s="84"/>
      <c r="F107" s="84"/>
      <c r="G107" s="158">
        <f>(((D107*(1+Parâmetros!B11)*(1+Parâmetros!C11)*(1+Parâmetros!D11))+(E107*(1+Parâmetros!C11)*(1+Parâmetros!D11)+(F107*(1+Parâmetros!D11))))/3)*(1+Parâmetros!E11)</f>
        <v>0</v>
      </c>
      <c r="H107" s="158">
        <f>G107*(1+Parâmetros!F11)</f>
        <v>0</v>
      </c>
      <c r="I107" s="158">
        <f>H107*(1+Parâmetros!G11)</f>
        <v>0</v>
      </c>
    </row>
    <row r="108" spans="1:177" s="10" customFormat="1" ht="30.75" customHeight="1">
      <c r="A108" s="153" t="s">
        <v>354</v>
      </c>
      <c r="B108" s="154" t="s">
        <v>558</v>
      </c>
      <c r="C108" s="155">
        <f aca="true" t="shared" si="20" ref="C108:I108">C109+C110+C111+C112</f>
        <v>-3462348.9000000004</v>
      </c>
      <c r="D108" s="155">
        <f t="shared" si="20"/>
        <v>-3529733.576</v>
      </c>
      <c r="E108" s="155">
        <f t="shared" si="20"/>
        <v>-4292999.380000001</v>
      </c>
      <c r="F108" s="155">
        <f t="shared" si="20"/>
        <v>-4733397.836000001</v>
      </c>
      <c r="G108" s="155">
        <f t="shared" si="20"/>
        <v>-5233918.184661269</v>
      </c>
      <c r="H108" s="155">
        <f t="shared" si="20"/>
        <v>-5411085.507604551</v>
      </c>
      <c r="I108" s="155">
        <f t="shared" si="20"/>
        <v>-5539995.24721761</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c r="EU108" s="101"/>
      <c r="EV108" s="101"/>
      <c r="EW108" s="101"/>
      <c r="EX108" s="101"/>
      <c r="EY108" s="101"/>
      <c r="EZ108" s="101"/>
      <c r="FA108" s="101"/>
      <c r="FB108" s="101"/>
      <c r="FC108" s="101"/>
      <c r="FD108" s="101"/>
      <c r="FE108" s="101"/>
      <c r="FF108" s="101"/>
      <c r="FG108" s="101"/>
      <c r="FH108" s="101"/>
      <c r="FI108" s="101"/>
      <c r="FJ108" s="101"/>
      <c r="FK108" s="101"/>
      <c r="FL108" s="101"/>
      <c r="FM108" s="101"/>
      <c r="FN108" s="101"/>
      <c r="FO108" s="101"/>
      <c r="FP108" s="101"/>
      <c r="FQ108" s="101"/>
      <c r="FR108" s="101"/>
      <c r="FS108" s="101"/>
      <c r="FT108" s="101"/>
      <c r="FU108" s="101"/>
    </row>
    <row r="109" spans="1:177" ht="12.75">
      <c r="A109" s="156" t="s">
        <v>355</v>
      </c>
      <c r="B109" s="157" t="s">
        <v>559</v>
      </c>
      <c r="C109" s="40"/>
      <c r="D109" s="40"/>
      <c r="E109" s="40"/>
      <c r="F109" s="40"/>
      <c r="G109" s="158">
        <f>(((D109*(1+Parâmetros!B11)*(1+Parâmetros!C11)*(1+Parâmetros!D11))+(E109*(1+Parâmetros!C11)*(1+Parâmetros!D11)+(F109*(1+Parâmetros!D11))))/3)*(1+Parâmetros!E11)</f>
        <v>0</v>
      </c>
      <c r="H109" s="158">
        <f>G109*(1+Parâmetros!F11)</f>
        <v>0</v>
      </c>
      <c r="I109" s="158">
        <f>H109*(1+Parâmetros!G11)</f>
        <v>0</v>
      </c>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row>
    <row r="110" spans="1:177" ht="12.75">
      <c r="A110" s="156" t="s">
        <v>356</v>
      </c>
      <c r="B110" s="157" t="s">
        <v>357</v>
      </c>
      <c r="C110" s="162">
        <f aca="true" t="shared" si="21" ref="C110:I110">-((C41+C44+C51+C55+C56+C57)*0.2)</f>
        <v>-3462348.9000000004</v>
      </c>
      <c r="D110" s="162">
        <f t="shared" si="21"/>
        <v>-3529733.576</v>
      </c>
      <c r="E110" s="162">
        <f t="shared" si="21"/>
        <v>-4292999.380000001</v>
      </c>
      <c r="F110" s="162">
        <f t="shared" si="21"/>
        <v>-4733397.836000001</v>
      </c>
      <c r="G110" s="162">
        <f t="shared" si="21"/>
        <v>-5233918.184661269</v>
      </c>
      <c r="H110" s="162">
        <f t="shared" si="21"/>
        <v>-5411085.507604551</v>
      </c>
      <c r="I110" s="162">
        <f t="shared" si="21"/>
        <v>-5539995.24721761</v>
      </c>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c r="FA110" s="85"/>
      <c r="FB110" s="85"/>
      <c r="FC110" s="85"/>
      <c r="FD110" s="85"/>
      <c r="FE110" s="85"/>
      <c r="FF110" s="85"/>
      <c r="FG110" s="85"/>
      <c r="FH110" s="85"/>
      <c r="FI110" s="85"/>
      <c r="FJ110" s="85"/>
      <c r="FK110" s="85"/>
      <c r="FL110" s="85"/>
      <c r="FM110" s="85"/>
      <c r="FN110" s="85"/>
      <c r="FO110" s="85"/>
      <c r="FP110" s="85"/>
      <c r="FQ110" s="85"/>
      <c r="FR110" s="85"/>
      <c r="FS110" s="85"/>
      <c r="FT110" s="85"/>
      <c r="FU110" s="85"/>
    </row>
    <row r="111" spans="1:177" ht="25.5">
      <c r="A111" s="156" t="s">
        <v>358</v>
      </c>
      <c r="B111" s="157" t="s">
        <v>607</v>
      </c>
      <c r="C111" s="84"/>
      <c r="D111" s="84"/>
      <c r="E111" s="84"/>
      <c r="F111" s="84"/>
      <c r="G111" s="158">
        <f>(((D111*(1+Parâmetros!B11)*(1+Parâmetros!C11)*(1+Parâmetros!D11))+(E111*(1+Parâmetros!C11)*(1+Parâmetros!D11)+(F111*(1+Parâmetros!D11))))/3)*(1+Parâmetros!E11)</f>
        <v>0</v>
      </c>
      <c r="H111" s="158">
        <f>G111*(1+Parâmetros!F11)</f>
        <v>0</v>
      </c>
      <c r="I111" s="158">
        <f>H111*(1+Parâmetros!G11)</f>
        <v>0</v>
      </c>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5"/>
      <c r="ET111" s="85"/>
      <c r="EU111" s="85"/>
      <c r="EV111" s="85"/>
      <c r="EW111" s="85"/>
      <c r="EX111" s="85"/>
      <c r="EY111" s="85"/>
      <c r="EZ111" s="85"/>
      <c r="FA111" s="85"/>
      <c r="FB111" s="85"/>
      <c r="FC111" s="85"/>
      <c r="FD111" s="85"/>
      <c r="FE111" s="85"/>
      <c r="FF111" s="85"/>
      <c r="FG111" s="85"/>
      <c r="FH111" s="85"/>
      <c r="FI111" s="85"/>
      <c r="FJ111" s="85"/>
      <c r="FK111" s="85"/>
      <c r="FL111" s="85"/>
      <c r="FM111" s="85"/>
      <c r="FN111" s="85"/>
      <c r="FO111" s="85"/>
      <c r="FP111" s="85"/>
      <c r="FQ111" s="85"/>
      <c r="FR111" s="85"/>
      <c r="FS111" s="85"/>
      <c r="FT111" s="85"/>
      <c r="FU111" s="85"/>
    </row>
    <row r="112" spans="1:177" ht="12.75">
      <c r="A112" s="156" t="s">
        <v>359</v>
      </c>
      <c r="B112" s="157" t="s">
        <v>560</v>
      </c>
      <c r="C112" s="84"/>
      <c r="D112" s="84"/>
      <c r="E112" s="84"/>
      <c r="F112" s="84"/>
      <c r="G112" s="158">
        <f>(((D112*(1+Parâmetros!B11)*(1+Parâmetros!C11)*(1+Parâmetros!D11))+(E112*(1+Parâmetros!C11)*(1+Parâmetros!D11)+(F112*(1+Parâmetros!D11))))/3)*(1+Parâmetros!E11)</f>
        <v>0</v>
      </c>
      <c r="H112" s="158">
        <f>G112*(1+Parâmetros!F11)</f>
        <v>0</v>
      </c>
      <c r="I112" s="158">
        <f>H112*(1+Parâmetros!G11)</f>
        <v>0</v>
      </c>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row>
    <row r="113" spans="1:177" ht="12.75">
      <c r="A113" s="163"/>
      <c r="B113" s="164"/>
      <c r="C113" s="161"/>
      <c r="D113" s="161"/>
      <c r="E113" s="161"/>
      <c r="F113" s="161"/>
      <c r="G113" s="158"/>
      <c r="H113" s="158"/>
      <c r="I113" s="158"/>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row>
    <row r="114" spans="1:177" s="9" customFormat="1" ht="25.5" customHeight="1">
      <c r="A114" s="165"/>
      <c r="B114" s="166" t="s">
        <v>467</v>
      </c>
      <c r="C114" s="162">
        <f aca="true" t="shared" si="22" ref="C114:I114">C8+C81+C102+C105+C108</f>
        <v>22598221.39</v>
      </c>
      <c r="D114" s="162">
        <f t="shared" si="22"/>
        <v>25565031.873999994</v>
      </c>
      <c r="E114" s="162">
        <f t="shared" si="22"/>
        <v>27457102.159999996</v>
      </c>
      <c r="F114" s="162">
        <f t="shared" si="22"/>
        <v>29410861.074</v>
      </c>
      <c r="G114" s="162">
        <f t="shared" si="22"/>
        <v>33917606.1789101</v>
      </c>
      <c r="H114" s="162">
        <f t="shared" si="22"/>
        <v>31514000.24028987</v>
      </c>
      <c r="I114" s="162">
        <f t="shared" si="22"/>
        <v>32277276.696465835</v>
      </c>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c r="DY114" s="102"/>
      <c r="DZ114" s="102"/>
      <c r="EA114" s="102"/>
      <c r="EB114" s="102"/>
      <c r="EC114" s="102"/>
      <c r="ED114" s="102"/>
      <c r="EE114" s="102"/>
      <c r="EF114" s="102"/>
      <c r="EG114" s="102"/>
      <c r="EH114" s="102"/>
      <c r="EI114" s="102"/>
      <c r="EJ114" s="102"/>
      <c r="EK114" s="102"/>
      <c r="EL114" s="102"/>
      <c r="EM114" s="102"/>
      <c r="EN114" s="102"/>
      <c r="EO114" s="102"/>
      <c r="EP114" s="102"/>
      <c r="EQ114" s="102"/>
      <c r="ER114" s="102"/>
      <c r="ES114" s="102"/>
      <c r="ET114" s="102"/>
      <c r="EU114" s="102"/>
      <c r="EV114" s="102"/>
      <c r="EW114" s="102"/>
      <c r="EX114" s="102"/>
      <c r="EY114" s="102"/>
      <c r="EZ114" s="102"/>
      <c r="FA114" s="102"/>
      <c r="FB114" s="102"/>
      <c r="FC114" s="102"/>
      <c r="FD114" s="102"/>
      <c r="FE114" s="102"/>
      <c r="FF114" s="102"/>
      <c r="FG114" s="102"/>
      <c r="FH114" s="102"/>
      <c r="FI114" s="102"/>
      <c r="FJ114" s="102"/>
      <c r="FK114" s="102"/>
      <c r="FL114" s="102"/>
      <c r="FM114" s="102"/>
      <c r="FN114" s="102"/>
      <c r="FO114" s="102"/>
      <c r="FP114" s="102"/>
      <c r="FQ114" s="102"/>
      <c r="FR114" s="102"/>
      <c r="FS114" s="102"/>
      <c r="FT114" s="102"/>
      <c r="FU114" s="102"/>
    </row>
    <row r="115" spans="1:177" ht="12.75">
      <c r="A115" s="53"/>
      <c r="B115" s="53"/>
      <c r="C115" s="54"/>
      <c r="D115" s="54"/>
      <c r="E115" s="54"/>
      <c r="F115" s="54"/>
      <c r="G115" s="403"/>
      <c r="H115" s="105"/>
      <c r="I115" s="10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row>
    <row r="116" spans="1:177" ht="15.75">
      <c r="A116" s="586" t="str">
        <f>Parâmetros!A7</f>
        <v>Município de Barra do Quaraí</v>
      </c>
      <c r="B116" s="584"/>
      <c r="C116" s="584"/>
      <c r="D116" s="584"/>
      <c r="E116" s="584"/>
      <c r="F116" s="584"/>
      <c r="G116" s="584"/>
      <c r="H116" s="584"/>
      <c r="I116" s="584"/>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row>
    <row r="117" spans="1:177" ht="15.75">
      <c r="A117" s="585" t="str">
        <f>Parâmetros!A8</f>
        <v>LEI DE DIRETRIZES ORÇAMENTÁRIAS  PARA 2023</v>
      </c>
      <c r="B117" s="584"/>
      <c r="C117" s="584"/>
      <c r="D117" s="584"/>
      <c r="E117" s="584"/>
      <c r="F117" s="584"/>
      <c r="G117" s="584"/>
      <c r="H117" s="584"/>
      <c r="I117" s="584"/>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row>
    <row r="118" spans="1:177" ht="15.75">
      <c r="A118" s="583" t="s">
        <v>592</v>
      </c>
      <c r="B118" s="584"/>
      <c r="C118" s="584"/>
      <c r="D118" s="584"/>
      <c r="E118" s="584"/>
      <c r="F118" s="584"/>
      <c r="G118" s="584"/>
      <c r="H118" s="584"/>
      <c r="I118" s="584"/>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5"/>
      <c r="CQ118" s="85"/>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85"/>
      <c r="EJ118" s="85"/>
      <c r="EK118" s="85"/>
      <c r="EL118" s="85"/>
      <c r="EM118" s="85"/>
      <c r="EN118" s="85"/>
      <c r="EO118" s="85"/>
      <c r="EP118" s="85"/>
      <c r="EQ118" s="85"/>
      <c r="ER118" s="85"/>
      <c r="ES118" s="85"/>
      <c r="ET118" s="85"/>
      <c r="EU118" s="85"/>
      <c r="EV118" s="85"/>
      <c r="EW118" s="85"/>
      <c r="EX118" s="85"/>
      <c r="EY118" s="85"/>
      <c r="EZ118" s="85"/>
      <c r="FA118" s="85"/>
      <c r="FB118" s="85"/>
      <c r="FC118" s="85"/>
      <c r="FD118" s="85"/>
      <c r="FE118" s="85"/>
      <c r="FF118" s="85"/>
      <c r="FG118" s="85"/>
      <c r="FH118" s="85"/>
      <c r="FI118" s="85"/>
      <c r="FJ118" s="85"/>
      <c r="FK118" s="85"/>
      <c r="FL118" s="85"/>
      <c r="FM118" s="85"/>
      <c r="FN118" s="85"/>
      <c r="FO118" s="85"/>
      <c r="FP118" s="85"/>
      <c r="FQ118" s="85"/>
      <c r="FR118" s="85"/>
      <c r="FS118" s="85"/>
      <c r="FT118" s="85"/>
      <c r="FU118" s="85"/>
    </row>
    <row r="119" spans="1:177" ht="15">
      <c r="A119" s="53"/>
      <c r="B119" s="53"/>
      <c r="C119" s="54"/>
      <c r="D119" s="54"/>
      <c r="E119" s="54"/>
      <c r="F119" s="54"/>
      <c r="G119" s="105"/>
      <c r="H119" s="105"/>
      <c r="I119" s="19" t="s">
        <v>55</v>
      </c>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row>
    <row r="120" spans="1:177" s="1" customFormat="1" ht="15.75">
      <c r="A120" s="170"/>
      <c r="B120" s="171" t="s">
        <v>0</v>
      </c>
      <c r="C120" s="172" t="s">
        <v>465</v>
      </c>
      <c r="D120" s="172" t="s">
        <v>465</v>
      </c>
      <c r="E120" s="172" t="s">
        <v>465</v>
      </c>
      <c r="F120" s="173" t="s">
        <v>466</v>
      </c>
      <c r="G120" s="173" t="s">
        <v>12</v>
      </c>
      <c r="H120" s="174" t="s">
        <v>12</v>
      </c>
      <c r="I120" s="175" t="s">
        <v>12</v>
      </c>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c r="EC120" s="97"/>
      <c r="ED120" s="97"/>
      <c r="EE120" s="97"/>
      <c r="EF120" s="97"/>
      <c r="EG120" s="97"/>
      <c r="EH120" s="97"/>
      <c r="EI120" s="97"/>
      <c r="EJ120" s="97"/>
      <c r="EK120" s="97"/>
      <c r="EL120" s="97"/>
      <c r="EM120" s="97"/>
      <c r="EN120" s="97"/>
      <c r="EO120" s="97"/>
      <c r="EP120" s="97"/>
      <c r="EQ120" s="97"/>
      <c r="ER120" s="97"/>
      <c r="ES120" s="97"/>
      <c r="ET120" s="97"/>
      <c r="EU120" s="97"/>
      <c r="EV120" s="97"/>
      <c r="EW120" s="97"/>
      <c r="EX120" s="97"/>
      <c r="EY120" s="97"/>
      <c r="EZ120" s="97"/>
      <c r="FA120" s="97"/>
      <c r="FB120" s="97"/>
      <c r="FC120" s="97"/>
      <c r="FD120" s="97"/>
      <c r="FE120" s="97"/>
      <c r="FF120" s="97"/>
      <c r="FG120" s="97"/>
      <c r="FH120" s="97"/>
      <c r="FI120" s="97"/>
      <c r="FJ120" s="97"/>
      <c r="FK120" s="97"/>
      <c r="FL120" s="97"/>
      <c r="FM120" s="97"/>
      <c r="FN120" s="97"/>
      <c r="FO120" s="97"/>
      <c r="FP120" s="97"/>
      <c r="FQ120" s="97"/>
      <c r="FR120" s="97"/>
      <c r="FS120" s="97"/>
      <c r="FT120" s="97"/>
      <c r="FU120" s="97"/>
    </row>
    <row r="121" spans="1:177" s="1" customFormat="1" ht="27.75" customHeight="1">
      <c r="A121" s="176"/>
      <c r="B121" s="177" t="s">
        <v>8</v>
      </c>
      <c r="C121" s="178">
        <f>C7</f>
        <v>2019</v>
      </c>
      <c r="D121" s="179">
        <f aca="true" t="shared" si="23" ref="D121:I121">C121+1</f>
        <v>2020</v>
      </c>
      <c r="E121" s="179">
        <f t="shared" si="23"/>
        <v>2021</v>
      </c>
      <c r="F121" s="179">
        <f t="shared" si="23"/>
        <v>2022</v>
      </c>
      <c r="G121" s="179">
        <f t="shared" si="23"/>
        <v>2023</v>
      </c>
      <c r="H121" s="179">
        <f t="shared" si="23"/>
        <v>2024</v>
      </c>
      <c r="I121" s="179">
        <f t="shared" si="23"/>
        <v>2025</v>
      </c>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c r="EC121" s="97"/>
      <c r="ED121" s="97"/>
      <c r="EE121" s="97"/>
      <c r="EF121" s="97"/>
      <c r="EG121" s="97"/>
      <c r="EH121" s="97"/>
      <c r="EI121" s="97"/>
      <c r="EJ121" s="97"/>
      <c r="EK121" s="97"/>
      <c r="EL121" s="97"/>
      <c r="EM121" s="97"/>
      <c r="EN121" s="97"/>
      <c r="EO121" s="97"/>
      <c r="EP121" s="97"/>
      <c r="EQ121" s="97"/>
      <c r="ER121" s="97"/>
      <c r="ES121" s="97"/>
      <c r="ET121" s="97"/>
      <c r="EU121" s="97"/>
      <c r="EV121" s="97"/>
      <c r="EW121" s="97"/>
      <c r="EX121" s="97"/>
      <c r="EY121" s="97"/>
      <c r="EZ121" s="97"/>
      <c r="FA121" s="97"/>
      <c r="FB121" s="97"/>
      <c r="FC121" s="97"/>
      <c r="FD121" s="97"/>
      <c r="FE121" s="97"/>
      <c r="FF121" s="97"/>
      <c r="FG121" s="97"/>
      <c r="FH121" s="97"/>
      <c r="FI121" s="97"/>
      <c r="FJ121" s="97"/>
      <c r="FK121" s="97"/>
      <c r="FL121" s="97"/>
      <c r="FM121" s="97"/>
      <c r="FN121" s="97"/>
      <c r="FO121" s="97"/>
      <c r="FP121" s="97"/>
      <c r="FQ121" s="97"/>
      <c r="FR121" s="97"/>
      <c r="FS121" s="97"/>
      <c r="FT121" s="97"/>
      <c r="FU121" s="97"/>
    </row>
    <row r="122" spans="1:177" s="90" customFormat="1" ht="15.75">
      <c r="A122" s="167" t="s">
        <v>42</v>
      </c>
      <c r="B122" s="168" t="s">
        <v>1</v>
      </c>
      <c r="C122" s="169">
        <f aca="true" t="shared" si="24" ref="C122:I122">C123+C129+C135</f>
        <v>21441087.4</v>
      </c>
      <c r="D122" s="169">
        <f t="shared" si="24"/>
        <v>22507726.58</v>
      </c>
      <c r="E122" s="169">
        <f t="shared" si="24"/>
        <v>23336444.59</v>
      </c>
      <c r="F122" s="169">
        <f t="shared" si="24"/>
        <v>26499554.6</v>
      </c>
      <c r="G122" s="169">
        <f t="shared" si="24"/>
        <v>27351560.775037013</v>
      </c>
      <c r="H122" s="169">
        <f t="shared" si="24"/>
        <v>30804346.87615468</v>
      </c>
      <c r="I122" s="169">
        <f t="shared" si="24"/>
        <v>35235499.31798345</v>
      </c>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row>
    <row r="123" spans="1:177" s="90" customFormat="1" ht="15.75">
      <c r="A123" s="167" t="s">
        <v>43</v>
      </c>
      <c r="B123" s="168" t="s">
        <v>44</v>
      </c>
      <c r="C123" s="169">
        <f aca="true" t="shared" si="25" ref="C123:I123">SUM(C124:C128)</f>
        <v>13380764.209999999</v>
      </c>
      <c r="D123" s="169">
        <f t="shared" si="25"/>
        <v>14803959.799999999</v>
      </c>
      <c r="E123" s="169">
        <f t="shared" si="25"/>
        <v>15586676.24</v>
      </c>
      <c r="F123" s="169">
        <f t="shared" si="25"/>
        <v>16566815.030000001</v>
      </c>
      <c r="G123" s="169">
        <f t="shared" si="25"/>
        <v>17048307.43</v>
      </c>
      <c r="H123" s="169">
        <f t="shared" si="25"/>
        <v>19776320.757257167</v>
      </c>
      <c r="I123" s="169">
        <f t="shared" si="25"/>
        <v>22933786.15567112</v>
      </c>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row>
    <row r="124" spans="1:177" s="8" customFormat="1" ht="15">
      <c r="A124" s="180" t="s">
        <v>43</v>
      </c>
      <c r="B124" s="181" t="s">
        <v>360</v>
      </c>
      <c r="C124" s="84">
        <v>12477956.34</v>
      </c>
      <c r="D124" s="84">
        <v>13847657.85</v>
      </c>
      <c r="E124" s="84">
        <v>14644169.67</v>
      </c>
      <c r="F124" s="535">
        <v>15498461.3</v>
      </c>
      <c r="G124" s="158">
        <v>17048307.43</v>
      </c>
      <c r="H124" s="182">
        <f>G124*(1+Parâmetros!F11)*(1+Parâmetros!F13)*(1+Parâmetros!F18)</f>
        <v>19776320.757257167</v>
      </c>
      <c r="I124" s="182">
        <f>H124*(1+Parâmetros!G11)*(1+Parâmetros!G13)*(1+Parâmetros!G18)</f>
        <v>22933786.15567112</v>
      </c>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row>
    <row r="125" spans="1:177" s="8" customFormat="1" ht="15">
      <c r="A125" s="180" t="s">
        <v>43</v>
      </c>
      <c r="B125" s="181" t="s">
        <v>361</v>
      </c>
      <c r="C125" s="89">
        <v>902807.87</v>
      </c>
      <c r="D125" s="89">
        <v>956301.95</v>
      </c>
      <c r="E125" s="89">
        <v>942506.57</v>
      </c>
      <c r="F125" s="540">
        <v>1068353.73</v>
      </c>
      <c r="G125" s="158"/>
      <c r="H125" s="182">
        <f>G125*(1+Parâmetros!F11)*(1+Parâmetros!F13)*(1+Parâmetros!F19)</f>
        <v>0</v>
      </c>
      <c r="I125" s="182">
        <f>H125*(1+Parâmetros!G11)*(1+Parâmetros!G13)*(1+Parâmetros!G19)</f>
        <v>0</v>
      </c>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row>
    <row r="126" spans="1:177" s="8" customFormat="1" ht="14.25" customHeight="1">
      <c r="A126" s="180" t="s">
        <v>43</v>
      </c>
      <c r="B126" s="181" t="s">
        <v>200</v>
      </c>
      <c r="C126" s="89"/>
      <c r="D126" s="89"/>
      <c r="E126" s="89"/>
      <c r="F126" s="541"/>
      <c r="G126" s="158">
        <f>(((D126*(1+Parâmetros!B11)*(1+Parâmetros!C11)*(1+Parâmetros!D11))+(E126*(1+Parâmetros!C11)*(1+Parâmetros!D11)+(F126*(1+Parâmetros!D11))))/3)*(1+Parâmetros!E11)*(1+Parâmetros!E13)*(1+Parâmetros!E18)</f>
        <v>0</v>
      </c>
      <c r="H126" s="182">
        <f>G126*(1+Parâmetros!F11)*(1+Parâmetros!F13)*(1+Parâmetros!F18)</f>
        <v>0</v>
      </c>
      <c r="I126" s="182">
        <f>H126*(1+Parâmetros!G11)*(1+Parâmetros!G13)*(1+Parâmetros!G18)</f>
        <v>0</v>
      </c>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row>
    <row r="127" spans="1:177" s="8" customFormat="1" ht="14.25" customHeight="1">
      <c r="A127" s="180" t="s">
        <v>43</v>
      </c>
      <c r="B127" s="181" t="s">
        <v>676</v>
      </c>
      <c r="C127" s="89"/>
      <c r="D127" s="89"/>
      <c r="E127" s="89"/>
      <c r="F127" s="541"/>
      <c r="G127" s="158">
        <f>((D127+E127+F127)/3)*(1+Parâmetros!E11)</f>
        <v>0</v>
      </c>
      <c r="H127" s="158">
        <f>((E127+F127+G127)/3)*(1+Parâmetros!F11)</f>
        <v>0</v>
      </c>
      <c r="I127" s="158">
        <f>((F127+G127+H127)/3)*(1+Parâmetros!G11)</f>
        <v>0</v>
      </c>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row>
    <row r="128" spans="1:177" s="337" customFormat="1" ht="14.25" customHeight="1">
      <c r="A128" s="180" t="s">
        <v>566</v>
      </c>
      <c r="B128" s="183" t="s">
        <v>574</v>
      </c>
      <c r="C128" s="89"/>
      <c r="D128" s="89"/>
      <c r="E128" s="89"/>
      <c r="F128" s="541"/>
      <c r="G128" s="158">
        <f>((D128+E128+F128)/3)*(1+Parâmetros!E11)</f>
        <v>0</v>
      </c>
      <c r="H128" s="182">
        <f>((E128+F128+G128)/3)*(1+Parâmetros!F11)</f>
        <v>0</v>
      </c>
      <c r="I128" s="182">
        <f>((F128+G128+H128)/3)*(1+Parâmetros!G11)</f>
        <v>0</v>
      </c>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36"/>
      <c r="AV128" s="336"/>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36"/>
      <c r="BU128" s="336"/>
      <c r="BV128" s="336"/>
      <c r="BW128" s="336"/>
      <c r="BX128" s="336"/>
      <c r="BY128" s="336"/>
      <c r="BZ128" s="336"/>
      <c r="CA128" s="336"/>
      <c r="CB128" s="336"/>
      <c r="CC128" s="336"/>
      <c r="CD128" s="336"/>
      <c r="CE128" s="336"/>
      <c r="CF128" s="336"/>
      <c r="CG128" s="336"/>
      <c r="CH128" s="336"/>
      <c r="CI128" s="336"/>
      <c r="CJ128" s="336"/>
      <c r="CK128" s="336"/>
      <c r="CL128" s="336"/>
      <c r="CM128" s="336"/>
      <c r="CN128" s="336"/>
      <c r="CO128" s="336"/>
      <c r="CP128" s="336"/>
      <c r="CQ128" s="336"/>
      <c r="CR128" s="336"/>
      <c r="CS128" s="336"/>
      <c r="CT128" s="336"/>
      <c r="CU128" s="336"/>
      <c r="CV128" s="336"/>
      <c r="CW128" s="336"/>
      <c r="CX128" s="336"/>
      <c r="CY128" s="336"/>
      <c r="CZ128" s="336"/>
      <c r="DA128" s="336"/>
      <c r="DB128" s="336"/>
      <c r="DC128" s="336"/>
      <c r="DD128" s="336"/>
      <c r="DE128" s="336"/>
      <c r="DF128" s="336"/>
      <c r="DG128" s="336"/>
      <c r="DH128" s="336"/>
      <c r="DI128" s="336"/>
      <c r="DJ128" s="336"/>
      <c r="DK128" s="336"/>
      <c r="DL128" s="336"/>
      <c r="DM128" s="336"/>
      <c r="DN128" s="336"/>
      <c r="DO128" s="336"/>
      <c r="DP128" s="336"/>
      <c r="DQ128" s="336"/>
      <c r="DR128" s="336"/>
      <c r="DS128" s="336"/>
      <c r="DT128" s="336"/>
      <c r="DU128" s="336"/>
      <c r="DV128" s="336"/>
      <c r="DW128" s="336"/>
      <c r="DX128" s="336"/>
      <c r="DY128" s="336"/>
      <c r="DZ128" s="336"/>
      <c r="EA128" s="336"/>
      <c r="EB128" s="336"/>
      <c r="EC128" s="336"/>
      <c r="ED128" s="336"/>
      <c r="EE128" s="336"/>
      <c r="EF128" s="336"/>
      <c r="EG128" s="336"/>
      <c r="EH128" s="336"/>
      <c r="EI128" s="336"/>
      <c r="EJ128" s="336"/>
      <c r="EK128" s="336"/>
      <c r="EL128" s="336"/>
      <c r="EM128" s="336"/>
      <c r="EN128" s="336"/>
      <c r="EO128" s="336"/>
      <c r="EP128" s="336"/>
      <c r="EQ128" s="336"/>
      <c r="ER128" s="336"/>
      <c r="ES128" s="336"/>
      <c r="ET128" s="336"/>
      <c r="EU128" s="336"/>
      <c r="EV128" s="336"/>
      <c r="EW128" s="336"/>
      <c r="EX128" s="336"/>
      <c r="EY128" s="336"/>
      <c r="EZ128" s="336"/>
      <c r="FA128" s="336"/>
      <c r="FB128" s="336"/>
      <c r="FC128" s="336"/>
      <c r="FD128" s="336"/>
      <c r="FE128" s="336"/>
      <c r="FF128" s="336"/>
      <c r="FG128" s="336"/>
      <c r="FH128" s="336"/>
      <c r="FI128" s="336"/>
      <c r="FJ128" s="336"/>
      <c r="FK128" s="336"/>
      <c r="FL128" s="336"/>
      <c r="FM128" s="336"/>
      <c r="FN128" s="336"/>
      <c r="FO128" s="336"/>
      <c r="FP128" s="336"/>
      <c r="FQ128" s="336"/>
      <c r="FR128" s="336"/>
      <c r="FS128" s="336"/>
      <c r="FT128" s="336"/>
      <c r="FU128" s="336"/>
    </row>
    <row r="129" spans="1:177" s="91" customFormat="1" ht="15.75">
      <c r="A129" s="167" t="s">
        <v>45</v>
      </c>
      <c r="B129" s="168" t="s">
        <v>126</v>
      </c>
      <c r="C129" s="169"/>
      <c r="D129" s="169">
        <f aca="true" t="shared" si="26" ref="D129:I129">SUM(D130:D134)</f>
        <v>0</v>
      </c>
      <c r="E129" s="169">
        <f t="shared" si="26"/>
        <v>0</v>
      </c>
      <c r="F129" s="542">
        <f t="shared" si="26"/>
        <v>0</v>
      </c>
      <c r="G129" s="169">
        <f t="shared" si="26"/>
        <v>0</v>
      </c>
      <c r="H129" s="169">
        <f t="shared" si="26"/>
        <v>0</v>
      </c>
      <c r="I129" s="169">
        <f t="shared" si="26"/>
        <v>0</v>
      </c>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5"/>
      <c r="DQ129" s="85"/>
      <c r="DR129" s="85"/>
      <c r="DS129" s="85"/>
      <c r="DT129" s="85"/>
      <c r="DU129" s="85"/>
      <c r="DV129" s="85"/>
      <c r="DW129" s="85"/>
      <c r="DX129" s="85"/>
      <c r="DY129" s="85"/>
      <c r="DZ129" s="85"/>
      <c r="EA129" s="85"/>
      <c r="EB129" s="85"/>
      <c r="EC129" s="85"/>
      <c r="ED129" s="85"/>
      <c r="EE129" s="85"/>
      <c r="EF129" s="85"/>
      <c r="EG129" s="85"/>
      <c r="EH129" s="85"/>
      <c r="EI129" s="85"/>
      <c r="EJ129" s="85"/>
      <c r="EK129" s="85"/>
      <c r="EL129" s="85"/>
      <c r="EM129" s="85"/>
      <c r="EN129" s="85"/>
      <c r="EO129" s="85"/>
      <c r="EP129" s="85"/>
      <c r="EQ129" s="85"/>
      <c r="ER129" s="85"/>
      <c r="ES129" s="85"/>
      <c r="ET129" s="85"/>
      <c r="EU129" s="85"/>
      <c r="EV129" s="85"/>
      <c r="EW129" s="85"/>
      <c r="EX129" s="85"/>
      <c r="EY129" s="85"/>
      <c r="EZ129" s="85"/>
      <c r="FA129" s="85"/>
      <c r="FB129" s="85"/>
      <c r="FC129" s="85"/>
      <c r="FD129" s="85"/>
      <c r="FE129" s="85"/>
      <c r="FF129" s="85"/>
      <c r="FG129" s="85"/>
      <c r="FH129" s="85"/>
      <c r="FI129" s="85"/>
      <c r="FJ129" s="85"/>
      <c r="FK129" s="85"/>
      <c r="FL129" s="85"/>
      <c r="FM129" s="85"/>
      <c r="FN129" s="85"/>
      <c r="FO129" s="85"/>
      <c r="FP129" s="85"/>
      <c r="FQ129" s="85"/>
      <c r="FR129" s="85"/>
      <c r="FS129" s="85"/>
      <c r="FT129" s="85"/>
      <c r="FU129" s="85"/>
    </row>
    <row r="130" spans="1:177" ht="15">
      <c r="A130" s="180" t="s">
        <v>45</v>
      </c>
      <c r="B130" s="181" t="s">
        <v>362</v>
      </c>
      <c r="C130" s="84"/>
      <c r="D130" s="84"/>
      <c r="E130" s="84"/>
      <c r="F130" s="535"/>
      <c r="G130" s="158">
        <f>(((D130*(1+Parâmetros!B11)*(1+Parâmetros!C11)*(1+Parâmetros!D11))+(E130*(1+Parâmetros!C11)*(1+Parâmetros!D11)+(F130*(1+Parâmetros!D11))))/3)*(1+Parâmetros!E21)</f>
        <v>0</v>
      </c>
      <c r="H130" s="182">
        <f>G130*(1+Parâmetros!F21)</f>
        <v>0</v>
      </c>
      <c r="I130" s="182">
        <f>H130*(1+Parâmetros!G21)</f>
        <v>0</v>
      </c>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5"/>
      <c r="DQ130" s="85"/>
      <c r="DR130" s="85"/>
      <c r="DS130" s="85"/>
      <c r="DT130" s="85"/>
      <c r="DU130" s="85"/>
      <c r="DV130" s="85"/>
      <c r="DW130" s="85"/>
      <c r="DX130" s="85"/>
      <c r="DY130" s="85"/>
      <c r="DZ130" s="85"/>
      <c r="EA130" s="85"/>
      <c r="EB130" s="85"/>
      <c r="EC130" s="85"/>
      <c r="ED130" s="85"/>
      <c r="EE130" s="85"/>
      <c r="EF130" s="85"/>
      <c r="EG130" s="85"/>
      <c r="EH130" s="85"/>
      <c r="EI130" s="85"/>
      <c r="EJ130" s="85"/>
      <c r="EK130" s="85"/>
      <c r="EL130" s="85"/>
      <c r="EM130" s="85"/>
      <c r="EN130" s="85"/>
      <c r="EO130" s="85"/>
      <c r="EP130" s="85"/>
      <c r="EQ130" s="85"/>
      <c r="ER130" s="85"/>
      <c r="ES130" s="85"/>
      <c r="ET130" s="85"/>
      <c r="EU130" s="85"/>
      <c r="EV130" s="85"/>
      <c r="EW130" s="85"/>
      <c r="EX130" s="85"/>
      <c r="EY130" s="85"/>
      <c r="EZ130" s="85"/>
      <c r="FA130" s="85"/>
      <c r="FB130" s="85"/>
      <c r="FC130" s="85"/>
      <c r="FD130" s="85"/>
      <c r="FE130" s="85"/>
      <c r="FF130" s="85"/>
      <c r="FG130" s="85"/>
      <c r="FH130" s="85"/>
      <c r="FI130" s="85"/>
      <c r="FJ130" s="85"/>
      <c r="FK130" s="85"/>
      <c r="FL130" s="85"/>
      <c r="FM130" s="85"/>
      <c r="FN130" s="85"/>
      <c r="FO130" s="85"/>
      <c r="FP130" s="85"/>
      <c r="FQ130" s="85"/>
      <c r="FR130" s="85"/>
      <c r="FS130" s="85"/>
      <c r="FT130" s="85"/>
      <c r="FU130" s="85"/>
    </row>
    <row r="131" spans="1:177" ht="15">
      <c r="A131" s="180" t="s">
        <v>45</v>
      </c>
      <c r="B131" s="181" t="s">
        <v>363</v>
      </c>
      <c r="C131" s="89"/>
      <c r="D131" s="89"/>
      <c r="E131" s="89"/>
      <c r="F131" s="541"/>
      <c r="G131" s="158">
        <f>(((D131*(1+Parâmetros!B11)*(1+Parâmetros!C11)*(1+Parâmetros!D11))+(E131*(1+Parâmetros!C11)*(1+Parâmetros!D11)+(F131*(1+Parâmetros!D11))))/3)*(1+Parâmetros!E21)</f>
        <v>0</v>
      </c>
      <c r="H131" s="182">
        <f>G131*(1+Parâmetros!F21)</f>
        <v>0</v>
      </c>
      <c r="I131" s="182">
        <f>H131*(1+Parâmetros!G21)</f>
        <v>0</v>
      </c>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5"/>
      <c r="DQ131" s="85"/>
      <c r="DR131" s="85"/>
      <c r="DS131" s="85"/>
      <c r="DT131" s="85"/>
      <c r="DU131" s="85"/>
      <c r="DV131" s="85"/>
      <c r="DW131" s="85"/>
      <c r="DX131" s="85"/>
      <c r="DY131" s="85"/>
      <c r="DZ131" s="85"/>
      <c r="EA131" s="85"/>
      <c r="EB131" s="85"/>
      <c r="EC131" s="85"/>
      <c r="ED131" s="85"/>
      <c r="EE131" s="85"/>
      <c r="EF131" s="85"/>
      <c r="EG131" s="85"/>
      <c r="EH131" s="85"/>
      <c r="EI131" s="85"/>
      <c r="EJ131" s="85"/>
      <c r="EK131" s="85"/>
      <c r="EL131" s="85"/>
      <c r="EM131" s="85"/>
      <c r="EN131" s="85"/>
      <c r="EO131" s="85"/>
      <c r="EP131" s="85"/>
      <c r="EQ131" s="85"/>
      <c r="ER131" s="85"/>
      <c r="ES131" s="85"/>
      <c r="ET131" s="85"/>
      <c r="EU131" s="85"/>
      <c r="EV131" s="85"/>
      <c r="EW131" s="85"/>
      <c r="EX131" s="85"/>
      <c r="EY131" s="85"/>
      <c r="EZ131" s="85"/>
      <c r="FA131" s="85"/>
      <c r="FB131" s="85"/>
      <c r="FC131" s="85"/>
      <c r="FD131" s="85"/>
      <c r="FE131" s="85"/>
      <c r="FF131" s="85"/>
      <c r="FG131" s="85"/>
      <c r="FH131" s="85"/>
      <c r="FI131" s="85"/>
      <c r="FJ131" s="85"/>
      <c r="FK131" s="85"/>
      <c r="FL131" s="85"/>
      <c r="FM131" s="85"/>
      <c r="FN131" s="85"/>
      <c r="FO131" s="85"/>
      <c r="FP131" s="85"/>
      <c r="FQ131" s="85"/>
      <c r="FR131" s="85"/>
      <c r="FS131" s="85"/>
      <c r="FT131" s="85"/>
      <c r="FU131" s="85"/>
    </row>
    <row r="132" spans="1:177" ht="15">
      <c r="A132" s="180" t="s">
        <v>45</v>
      </c>
      <c r="B132" s="181" t="s">
        <v>201</v>
      </c>
      <c r="C132" s="89"/>
      <c r="D132" s="89"/>
      <c r="E132" s="89"/>
      <c r="F132" s="541"/>
      <c r="G132" s="158">
        <f>(((D132*(1+Parâmetros!B11)*(1+Parâmetros!C11)*(1+Parâmetros!D11))+(E132*(1+Parâmetros!C11)*(1+Parâmetros!D11)+(F132*(1+Parâmetros!D11))))/3)*(1+Parâmetros!E21)</f>
        <v>0</v>
      </c>
      <c r="H132" s="182">
        <f>G132*(1+Parâmetros!F21)</f>
        <v>0</v>
      </c>
      <c r="I132" s="182">
        <f>H132*(1+Parâmetros!G21)</f>
        <v>0</v>
      </c>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c r="EE132" s="85"/>
      <c r="EF132" s="85"/>
      <c r="EG132" s="85"/>
      <c r="EH132" s="85"/>
      <c r="EI132" s="85"/>
      <c r="EJ132" s="85"/>
      <c r="EK132" s="85"/>
      <c r="EL132" s="85"/>
      <c r="EM132" s="85"/>
      <c r="EN132" s="85"/>
      <c r="EO132" s="85"/>
      <c r="EP132" s="85"/>
      <c r="EQ132" s="85"/>
      <c r="ER132" s="85"/>
      <c r="ES132" s="85"/>
      <c r="ET132" s="85"/>
      <c r="EU132" s="85"/>
      <c r="EV132" s="85"/>
      <c r="EW132" s="85"/>
      <c r="EX132" s="85"/>
      <c r="EY132" s="85"/>
      <c r="EZ132" s="85"/>
      <c r="FA132" s="85"/>
      <c r="FB132" s="85"/>
      <c r="FC132" s="85"/>
      <c r="FD132" s="85"/>
      <c r="FE132" s="85"/>
      <c r="FF132" s="85"/>
      <c r="FG132" s="85"/>
      <c r="FH132" s="85"/>
      <c r="FI132" s="85"/>
      <c r="FJ132" s="85"/>
      <c r="FK132" s="85"/>
      <c r="FL132" s="85"/>
      <c r="FM132" s="85"/>
      <c r="FN132" s="85"/>
      <c r="FO132" s="85"/>
      <c r="FP132" s="85"/>
      <c r="FQ132" s="85"/>
      <c r="FR132" s="85"/>
      <c r="FS132" s="85"/>
      <c r="FT132" s="85"/>
      <c r="FU132" s="85"/>
    </row>
    <row r="133" spans="1:177" ht="15.75">
      <c r="A133" s="180" t="s">
        <v>45</v>
      </c>
      <c r="B133" s="181" t="s">
        <v>677</v>
      </c>
      <c r="C133" s="89"/>
      <c r="D133" s="89"/>
      <c r="E133" s="89"/>
      <c r="F133" s="541"/>
      <c r="G133" s="158">
        <f>((D133+E133+F133)/3)*(1+Parâmetros!E11)</f>
        <v>0</v>
      </c>
      <c r="H133" s="158">
        <f>((E133+F133+G133)/3)*(1+Parâmetros!F11)</f>
        <v>0</v>
      </c>
      <c r="I133" s="158">
        <f>((F133+G133+H133)/3)*(1+Parâmetros!G11)</f>
        <v>0</v>
      </c>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5"/>
      <c r="DQ133" s="85"/>
      <c r="DR133" s="85"/>
      <c r="DS133" s="85"/>
      <c r="DT133" s="85"/>
      <c r="DU133" s="85"/>
      <c r="DV133" s="85"/>
      <c r="DW133" s="85"/>
      <c r="DX133" s="85"/>
      <c r="DY133" s="85"/>
      <c r="DZ133" s="85"/>
      <c r="EA133" s="85"/>
      <c r="EB133" s="85"/>
      <c r="EC133" s="85"/>
      <c r="ED133" s="85"/>
      <c r="EE133" s="85"/>
      <c r="EF133" s="85"/>
      <c r="EG133" s="85"/>
      <c r="EH133" s="85"/>
      <c r="EI133" s="85"/>
      <c r="EJ133" s="85"/>
      <c r="EK133" s="85"/>
      <c r="EL133" s="85"/>
      <c r="EM133" s="85"/>
      <c r="EN133" s="85"/>
      <c r="EO133" s="85"/>
      <c r="EP133" s="85"/>
      <c r="EQ133" s="85"/>
      <c r="ER133" s="85"/>
      <c r="ES133" s="85"/>
      <c r="ET133" s="85"/>
      <c r="EU133" s="85"/>
      <c r="EV133" s="85"/>
      <c r="EW133" s="85"/>
      <c r="EX133" s="85"/>
      <c r="EY133" s="85"/>
      <c r="EZ133" s="85"/>
      <c r="FA133" s="85"/>
      <c r="FB133" s="85"/>
      <c r="FC133" s="85"/>
      <c r="FD133" s="85"/>
      <c r="FE133" s="85"/>
      <c r="FF133" s="85"/>
      <c r="FG133" s="85"/>
      <c r="FH133" s="85"/>
      <c r="FI133" s="85"/>
      <c r="FJ133" s="85"/>
      <c r="FK133" s="85"/>
      <c r="FL133" s="85"/>
      <c r="FM133" s="85"/>
      <c r="FN133" s="85"/>
      <c r="FO133" s="85"/>
      <c r="FP133" s="85"/>
      <c r="FQ133" s="85"/>
      <c r="FR133" s="85"/>
      <c r="FS133" s="85"/>
      <c r="FT133" s="85"/>
      <c r="FU133" s="85"/>
    </row>
    <row r="134" spans="1:177" ht="15.75">
      <c r="A134" s="180" t="s">
        <v>567</v>
      </c>
      <c r="B134" s="181" t="s">
        <v>575</v>
      </c>
      <c r="C134" s="89"/>
      <c r="D134" s="89"/>
      <c r="E134" s="89"/>
      <c r="F134" s="541"/>
      <c r="G134" s="158">
        <f>((D134+E134+F134)/3)*(1+Parâmetros!E11)</f>
        <v>0</v>
      </c>
      <c r="H134" s="158">
        <f>((E134+F134+G134)/3)*(1+Parâmetros!F11)</f>
        <v>0</v>
      </c>
      <c r="I134" s="158">
        <f>((F134+G134+H134)/3)*(1+Parâmetros!G11)</f>
        <v>0</v>
      </c>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5"/>
      <c r="DQ134" s="85"/>
      <c r="DR134" s="85"/>
      <c r="DS134" s="85"/>
      <c r="DT134" s="85"/>
      <c r="DU134" s="85"/>
      <c r="DV134" s="85"/>
      <c r="DW134" s="85"/>
      <c r="DX134" s="85"/>
      <c r="DY134" s="85"/>
      <c r="DZ134" s="85"/>
      <c r="EA134" s="85"/>
      <c r="EB134" s="85"/>
      <c r="EC134" s="85"/>
      <c r="ED134" s="85"/>
      <c r="EE134" s="85"/>
      <c r="EF134" s="85"/>
      <c r="EG134" s="85"/>
      <c r="EH134" s="85"/>
      <c r="EI134" s="85"/>
      <c r="EJ134" s="85"/>
      <c r="EK134" s="85"/>
      <c r="EL134" s="85"/>
      <c r="EM134" s="85"/>
      <c r="EN134" s="85"/>
      <c r="EO134" s="85"/>
      <c r="EP134" s="85"/>
      <c r="EQ134" s="85"/>
      <c r="ER134" s="85"/>
      <c r="ES134" s="85"/>
      <c r="ET134" s="85"/>
      <c r="EU134" s="85"/>
      <c r="EV134" s="85"/>
      <c r="EW134" s="85"/>
      <c r="EX134" s="85"/>
      <c r="EY134" s="85"/>
      <c r="EZ134" s="85"/>
      <c r="FA134" s="85"/>
      <c r="FB134" s="85"/>
      <c r="FC134" s="85"/>
      <c r="FD134" s="85"/>
      <c r="FE134" s="85"/>
      <c r="FF134" s="85"/>
      <c r="FG134" s="85"/>
      <c r="FH134" s="85"/>
      <c r="FI134" s="85"/>
      <c r="FJ134" s="85"/>
      <c r="FK134" s="85"/>
      <c r="FL134" s="85"/>
      <c r="FM134" s="85"/>
      <c r="FN134" s="85"/>
      <c r="FO134" s="85"/>
      <c r="FP134" s="85"/>
      <c r="FQ134" s="85"/>
      <c r="FR134" s="85"/>
      <c r="FS134" s="85"/>
      <c r="FT134" s="85"/>
      <c r="FU134" s="85"/>
    </row>
    <row r="135" spans="1:177" s="90" customFormat="1" ht="15.75">
      <c r="A135" s="167" t="s">
        <v>46</v>
      </c>
      <c r="B135" s="168" t="s">
        <v>47</v>
      </c>
      <c r="C135" s="169">
        <f aca="true" t="shared" si="27" ref="C135:I135">SUM(C136:C140)</f>
        <v>8060323.19</v>
      </c>
      <c r="D135" s="169">
        <f t="shared" si="27"/>
        <v>7703766.78</v>
      </c>
      <c r="E135" s="169">
        <f t="shared" si="27"/>
        <v>7749768.35</v>
      </c>
      <c r="F135" s="542">
        <f t="shared" si="27"/>
        <v>9932739.57</v>
      </c>
      <c r="G135" s="169">
        <f t="shared" si="27"/>
        <v>10303253.345037011</v>
      </c>
      <c r="H135" s="169">
        <f t="shared" si="27"/>
        <v>11028026.118897513</v>
      </c>
      <c r="I135" s="169">
        <f t="shared" si="27"/>
        <v>12301713.162312327</v>
      </c>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row>
    <row r="136" spans="1:177" s="8" customFormat="1" ht="15">
      <c r="A136" s="180" t="s">
        <v>46</v>
      </c>
      <c r="B136" s="181" t="s">
        <v>364</v>
      </c>
      <c r="C136" s="84">
        <v>7737570.33</v>
      </c>
      <c r="D136" s="84">
        <v>7423476.75</v>
      </c>
      <c r="E136" s="84">
        <v>7365346.43</v>
      </c>
      <c r="F136" s="535">
        <v>9430850.11</v>
      </c>
      <c r="G136" s="158">
        <f>(((D136*(1+Parâmetros!B11)*(1+Parâmetros!C11)*(1+Parâmetros!D11))+(E136*(1+Parâmetros!C11)*(1+Parâmetros!D11)+(F136*(1+Parâmetros!D11))))/3)*(1+Parâmetros!E11)*(1+Parâmetros!E14)</f>
        <v>9832884.174373534</v>
      </c>
      <c r="H136" s="182">
        <f>G136*(1+Parâmetros!F11)*(1+Parâmetros!F14)</f>
        <v>10524569.266397651</v>
      </c>
      <c r="I136" s="182">
        <f>H136*(1+Parâmetros!G11)*(1+Parâmetros!G14)</f>
        <v>11740109.324755127</v>
      </c>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row>
    <row r="137" spans="1:177" s="8" customFormat="1" ht="15">
      <c r="A137" s="180" t="s">
        <v>46</v>
      </c>
      <c r="B137" s="181" t="s">
        <v>365</v>
      </c>
      <c r="C137" s="89">
        <v>322752.86</v>
      </c>
      <c r="D137" s="89">
        <v>280290.03</v>
      </c>
      <c r="E137" s="89">
        <v>384421.92</v>
      </c>
      <c r="F137" s="540">
        <v>501889.46</v>
      </c>
      <c r="G137" s="158">
        <f>(((D137*(1+Parâmetros!B11)*(1+Parâmetros!C11)*(1+Parâmetros!D11))+(E137*(1+Parâmetros!C11)*(1+Parâmetros!D11)+(F137*(1+Parâmetros!D11))))/3)*(1+Parâmetros!E11)*(1+Parâmetros!E14)</f>
        <v>470369.1706634779</v>
      </c>
      <c r="H137" s="182">
        <f>G137*(1+Parâmetros!F11)*(1+Parâmetros!F14)</f>
        <v>503456.85249986075</v>
      </c>
      <c r="I137" s="182">
        <f>H137*(1+Parâmetros!G11)*(1+Parâmetros!G14)</f>
        <v>561603.8375571995</v>
      </c>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row>
    <row r="138" spans="1:177" s="8" customFormat="1" ht="15">
      <c r="A138" s="180" t="s">
        <v>46</v>
      </c>
      <c r="B138" s="181" t="s">
        <v>366</v>
      </c>
      <c r="C138" s="89"/>
      <c r="D138" s="89"/>
      <c r="E138" s="89"/>
      <c r="F138" s="541"/>
      <c r="G138" s="158">
        <f>(((D138*(1+Parâmetros!B11)*(1+Parâmetros!C11)*(1+Parâmetros!D11))+(E138*(1+Parâmetros!C11)*(1+Parâmetros!D11)+(F138*(1+Parâmetros!D11))))/3)*(1+Parâmetros!E11)*(1+Parâmetros!E14)</f>
        <v>0</v>
      </c>
      <c r="H138" s="182">
        <f>G138*(1+Parâmetros!F11)*(1+Parâmetros!F14)</f>
        <v>0</v>
      </c>
      <c r="I138" s="182">
        <f>H138*(1+Parâmetros!G11)*(1+Parâmetros!G14)</f>
        <v>0</v>
      </c>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row>
    <row r="139" spans="1:177" s="8" customFormat="1" ht="15.75">
      <c r="A139" s="180" t="s">
        <v>46</v>
      </c>
      <c r="B139" s="181" t="s">
        <v>678</v>
      </c>
      <c r="C139" s="89"/>
      <c r="D139" s="89"/>
      <c r="E139" s="89"/>
      <c r="F139" s="541"/>
      <c r="G139" s="158">
        <f>((D139+E139+F139)/3)*(1+Parâmetros!E11)</f>
        <v>0</v>
      </c>
      <c r="H139" s="158">
        <f>((E139+F139+G139)/3)*(1+Parâmetros!F11)</f>
        <v>0</v>
      </c>
      <c r="I139" s="158">
        <f>((F139+G139+H139)/3)*(1+Parâmetros!G11)</f>
        <v>0</v>
      </c>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row>
    <row r="140" spans="1:177" s="8" customFormat="1" ht="15.75">
      <c r="A140" s="180" t="s">
        <v>568</v>
      </c>
      <c r="B140" s="181" t="s">
        <v>576</v>
      </c>
      <c r="C140" s="89"/>
      <c r="D140" s="89"/>
      <c r="E140" s="89"/>
      <c r="F140" s="541"/>
      <c r="G140" s="158">
        <f>((D140+E140+F140)/3)*(1+Parâmetros!E11)</f>
        <v>0</v>
      </c>
      <c r="H140" s="158">
        <f>((E140+F140+G140)/3)*(1+Parâmetros!F11)</f>
        <v>0</v>
      </c>
      <c r="I140" s="158">
        <f>((F140+G140+H140)/3)*(1+Parâmetros!G11)</f>
        <v>0</v>
      </c>
      <c r="J140" s="99"/>
      <c r="K140" s="338" t="s">
        <v>572</v>
      </c>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row>
    <row r="141" spans="1:177" s="90" customFormat="1" ht="15.75">
      <c r="A141" s="167" t="s">
        <v>48</v>
      </c>
      <c r="B141" s="168" t="s">
        <v>2</v>
      </c>
      <c r="C141" s="169">
        <f aca="true" t="shared" si="28" ref="C141:I141">C142+C148+C154</f>
        <v>1199826.98</v>
      </c>
      <c r="D141" s="169">
        <f t="shared" si="28"/>
        <v>1609683.6600000001</v>
      </c>
      <c r="E141" s="169">
        <f t="shared" si="28"/>
        <v>1607456.36</v>
      </c>
      <c r="F141" s="542">
        <f t="shared" si="28"/>
        <v>2911306.4699999997</v>
      </c>
      <c r="G141" s="169">
        <f t="shared" si="28"/>
        <v>4875413.640226052</v>
      </c>
      <c r="H141" s="169">
        <f t="shared" si="28"/>
        <v>7216103.944937194</v>
      </c>
      <c r="I141" s="169">
        <f t="shared" si="28"/>
        <v>12353665.770646954</v>
      </c>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row>
    <row r="142" spans="1:177" s="90" customFormat="1" ht="15.75">
      <c r="A142" s="167" t="s">
        <v>49</v>
      </c>
      <c r="B142" s="168" t="s">
        <v>3</v>
      </c>
      <c r="C142" s="169">
        <f aca="true" t="shared" si="29" ref="C142:I142">SUM(C143:C147)</f>
        <v>826587.35</v>
      </c>
      <c r="D142" s="169">
        <f t="shared" si="29"/>
        <v>612945.9800000001</v>
      </c>
      <c r="E142" s="169">
        <f t="shared" si="29"/>
        <v>629503.55</v>
      </c>
      <c r="F142" s="542">
        <f t="shared" si="29"/>
        <v>1601306.47</v>
      </c>
      <c r="G142" s="169">
        <f t="shared" si="29"/>
        <v>3529332.292489557</v>
      </c>
      <c r="H142" s="169">
        <f t="shared" si="29"/>
        <v>5802718.529813874</v>
      </c>
      <c r="I142" s="169">
        <f t="shared" si="29"/>
        <v>10869611.084767468</v>
      </c>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row>
    <row r="143" spans="1:177" s="8" customFormat="1" ht="15">
      <c r="A143" s="180" t="s">
        <v>49</v>
      </c>
      <c r="B143" s="181" t="s">
        <v>367</v>
      </c>
      <c r="C143" s="84">
        <v>796017.35</v>
      </c>
      <c r="D143" s="84">
        <v>601688.18</v>
      </c>
      <c r="E143" s="84">
        <v>614732.79</v>
      </c>
      <c r="F143" s="535">
        <v>1583706.47</v>
      </c>
      <c r="G143" s="158">
        <v>3505328.3</v>
      </c>
      <c r="H143" s="543">
        <f>G143*(1+Parâmetros!F11)*(1+Parâmetros!F20)</f>
        <v>5763252.591085158</v>
      </c>
      <c r="I143" s="543">
        <f>H143*(1+Parâmetros!G11)*(1+Parâmetros!G20)</f>
        <v>10795683.768997742</v>
      </c>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99"/>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99"/>
      <c r="FU143" s="99"/>
    </row>
    <row r="144" spans="1:177" s="8" customFormat="1" ht="15">
      <c r="A144" s="180" t="s">
        <v>49</v>
      </c>
      <c r="B144" s="181" t="s">
        <v>368</v>
      </c>
      <c r="C144" s="89">
        <v>30570</v>
      </c>
      <c r="D144" s="89">
        <v>11257.8</v>
      </c>
      <c r="E144" s="89">
        <v>14770.76</v>
      </c>
      <c r="F144" s="541">
        <v>17600</v>
      </c>
      <c r="G144" s="158">
        <f>(((D144*(1+Parâmetros!B11)*(1+Parâmetros!C11)*(1+Parâmetros!D11))+(E144*(1+Parâmetros!C11)*(1+Parâmetros!D11)+(F144*(1+Parâmetros!D11))))/3)*(1+Parâmetros!E11)*(1+Parâmetros!E20)</f>
        <v>24003.992489557408</v>
      </c>
      <c r="H144" s="182">
        <f>G144*(1+Parâmetros!F11)*(1+Parâmetros!F20)</f>
        <v>39465.938728714915</v>
      </c>
      <c r="I144" s="182">
        <f>H144*(1+Parâmetros!G11)*(1+Parâmetros!G20)</f>
        <v>73927.31576972651</v>
      </c>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9"/>
      <c r="FE144" s="99"/>
      <c r="FF144" s="99"/>
      <c r="FG144" s="99"/>
      <c r="FH144" s="99"/>
      <c r="FI144" s="99"/>
      <c r="FJ144" s="99"/>
      <c r="FK144" s="99"/>
      <c r="FL144" s="99"/>
      <c r="FM144" s="99"/>
      <c r="FN144" s="99"/>
      <c r="FO144" s="99"/>
      <c r="FP144" s="99"/>
      <c r="FQ144" s="99"/>
      <c r="FR144" s="99"/>
      <c r="FS144" s="99"/>
      <c r="FT144" s="99"/>
      <c r="FU144" s="99"/>
    </row>
    <row r="145" spans="1:177" s="8" customFormat="1" ht="15">
      <c r="A145" s="180" t="s">
        <v>49</v>
      </c>
      <c r="B145" s="181" t="s">
        <v>679</v>
      </c>
      <c r="C145" s="89"/>
      <c r="D145" s="89"/>
      <c r="E145" s="89"/>
      <c r="F145" s="541"/>
      <c r="G145" s="158">
        <f>(((D145*(1+Parâmetros!B11)*(1+Parâmetros!C11)*(1+Parâmetros!D11))+(E145*(1+Parâmetros!C11)*(1+Parâmetros!D11)+(F145*(1+Parâmetros!D11))))/3)*(1+Parâmetros!E11)*(1+Parâmetros!E20)</f>
        <v>0</v>
      </c>
      <c r="H145" s="182">
        <f>G145*(1+Parâmetros!F11)*(1+Parâmetros!F20)</f>
        <v>0</v>
      </c>
      <c r="I145" s="182">
        <f>H145*(1+Parâmetros!G11)*(1+Parâmetros!G20)</f>
        <v>0</v>
      </c>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row>
    <row r="146" spans="1:177" s="8" customFormat="1" ht="15.75">
      <c r="A146" s="180" t="s">
        <v>569</v>
      </c>
      <c r="B146" s="181" t="s">
        <v>681</v>
      </c>
      <c r="C146" s="89"/>
      <c r="D146" s="89"/>
      <c r="E146" s="89"/>
      <c r="F146" s="541"/>
      <c r="G146" s="158">
        <f>((D146+E146+F146)/3)*(1+Parâmetros!E11)</f>
        <v>0</v>
      </c>
      <c r="H146" s="158">
        <f>((E146+F146+G146)/3)*(1+Parâmetros!F11)</f>
        <v>0</v>
      </c>
      <c r="I146" s="158">
        <f>((F146+G146+H146)/3)*(1+Parâmetros!G11)</f>
        <v>0</v>
      </c>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row>
    <row r="147" spans="1:177" s="8" customFormat="1" ht="15.75">
      <c r="A147" s="180" t="s">
        <v>569</v>
      </c>
      <c r="B147" s="181" t="s">
        <v>680</v>
      </c>
      <c r="C147" s="89"/>
      <c r="D147" s="89"/>
      <c r="E147" s="89"/>
      <c r="F147" s="541"/>
      <c r="G147" s="158">
        <f>((D147+E147+F147)/3)*(1+Parâmetros!E11)</f>
        <v>0</v>
      </c>
      <c r="H147" s="158">
        <f>((E147+F147+G147)/3)*(1+Parâmetros!F11)</f>
        <v>0</v>
      </c>
      <c r="I147" s="158">
        <f>((F147+G147+H147)/3)*(1+Parâmetros!G11)</f>
        <v>0</v>
      </c>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row>
    <row r="148" spans="1:177" s="90" customFormat="1" ht="15.75">
      <c r="A148" s="167" t="s">
        <v>50</v>
      </c>
      <c r="B148" s="168" t="s">
        <v>4</v>
      </c>
      <c r="C148" s="169">
        <f aca="true" t="shared" si="30" ref="C148:I148">SUM(C149:C153)</f>
        <v>0</v>
      </c>
      <c r="D148" s="169">
        <f t="shared" si="30"/>
        <v>0</v>
      </c>
      <c r="E148" s="169">
        <f t="shared" si="30"/>
        <v>0</v>
      </c>
      <c r="F148" s="542">
        <f t="shared" si="30"/>
        <v>0</v>
      </c>
      <c r="G148" s="169">
        <f t="shared" si="30"/>
        <v>0</v>
      </c>
      <c r="H148" s="169">
        <f t="shared" si="30"/>
        <v>0</v>
      </c>
      <c r="I148" s="169">
        <f t="shared" si="30"/>
        <v>0</v>
      </c>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row>
    <row r="149" spans="1:177" ht="15">
      <c r="A149" s="180" t="s">
        <v>51</v>
      </c>
      <c r="B149" s="183" t="s">
        <v>52</v>
      </c>
      <c r="C149" s="84"/>
      <c r="D149" s="84"/>
      <c r="E149" s="84"/>
      <c r="F149" s="535"/>
      <c r="G149" s="158">
        <f>(((D149*(1+Parâmetros!B11)*(1+Parâmetros!C11)*(1+Parâmetros!D11))+(E149*(1+Parâmetros!C11)*(1+Parâmetros!D11)+(F149*(1+Parâmetros!D11))))/3)*(1+Parâmetros!E11)</f>
        <v>0</v>
      </c>
      <c r="H149" s="182">
        <f>G149*(1+Parâmetros!F11)</f>
        <v>0</v>
      </c>
      <c r="I149" s="182">
        <f>H149*(1+Parâmetros!G11)</f>
        <v>0</v>
      </c>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c r="DR149" s="85"/>
      <c r="DS149" s="85"/>
      <c r="DT149" s="85"/>
      <c r="DU149" s="85"/>
      <c r="DV149" s="85"/>
      <c r="DW149" s="85"/>
      <c r="DX149" s="85"/>
      <c r="DY149" s="85"/>
      <c r="DZ149" s="85"/>
      <c r="EA149" s="85"/>
      <c r="EB149" s="85"/>
      <c r="EC149" s="85"/>
      <c r="ED149" s="85"/>
      <c r="EE149" s="85"/>
      <c r="EF149" s="85"/>
      <c r="EG149" s="85"/>
      <c r="EH149" s="85"/>
      <c r="EI149" s="85"/>
      <c r="EJ149" s="85"/>
      <c r="EK149" s="85"/>
      <c r="EL149" s="85"/>
      <c r="EM149" s="85"/>
      <c r="EN149" s="85"/>
      <c r="EO149" s="85"/>
      <c r="EP149" s="85"/>
      <c r="EQ149" s="85"/>
      <c r="ER149" s="85"/>
      <c r="ES149" s="85"/>
      <c r="ET149" s="85"/>
      <c r="EU149" s="85"/>
      <c r="EV149" s="85"/>
      <c r="EW149" s="85"/>
      <c r="EX149" s="85"/>
      <c r="EY149" s="85"/>
      <c r="EZ149" s="85"/>
      <c r="FA149" s="85"/>
      <c r="FB149" s="85"/>
      <c r="FC149" s="85"/>
      <c r="FD149" s="85"/>
      <c r="FE149" s="85"/>
      <c r="FF149" s="85"/>
      <c r="FG149" s="85"/>
      <c r="FH149" s="85"/>
      <c r="FI149" s="85"/>
      <c r="FJ149" s="85"/>
      <c r="FK149" s="85"/>
      <c r="FL149" s="85"/>
      <c r="FM149" s="85"/>
      <c r="FN149" s="85"/>
      <c r="FO149" s="85"/>
      <c r="FP149" s="85"/>
      <c r="FQ149" s="85"/>
      <c r="FR149" s="85"/>
      <c r="FS149" s="85"/>
      <c r="FT149" s="85"/>
      <c r="FU149" s="85"/>
    </row>
    <row r="150" spans="1:177" ht="15">
      <c r="A150" s="180" t="s">
        <v>369</v>
      </c>
      <c r="B150" s="183" t="s">
        <v>370</v>
      </c>
      <c r="C150" s="89"/>
      <c r="D150" s="89"/>
      <c r="E150" s="89"/>
      <c r="F150" s="541"/>
      <c r="G150" s="158">
        <f>(((D150*(1+Parâmetros!B11)*(1+Parâmetros!C11)*(1+Parâmetros!D11))+(E150*(1+Parâmetros!C11)*(1+Parâmetros!D11)+(F150*(1+Parâmetros!D11))))/3)*(1+Parâmetros!E11)</f>
        <v>0</v>
      </c>
      <c r="H150" s="182">
        <f>G150*(1+Parâmetros!F11)</f>
        <v>0</v>
      </c>
      <c r="I150" s="182">
        <f>H150*(1+Parâmetros!G11)</f>
        <v>0</v>
      </c>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c r="FF150" s="85"/>
      <c r="FG150" s="85"/>
      <c r="FH150" s="85"/>
      <c r="FI150" s="85"/>
      <c r="FJ150" s="85"/>
      <c r="FK150" s="85"/>
      <c r="FL150" s="85"/>
      <c r="FM150" s="85"/>
      <c r="FN150" s="85"/>
      <c r="FO150" s="85"/>
      <c r="FP150" s="85"/>
      <c r="FQ150" s="85"/>
      <c r="FR150" s="85"/>
      <c r="FS150" s="85"/>
      <c r="FT150" s="85"/>
      <c r="FU150" s="85"/>
    </row>
    <row r="151" spans="1:177" ht="15">
      <c r="A151" s="180" t="s">
        <v>369</v>
      </c>
      <c r="B151" s="183" t="s">
        <v>371</v>
      </c>
      <c r="C151" s="89"/>
      <c r="D151" s="89"/>
      <c r="E151" s="89"/>
      <c r="F151" s="541"/>
      <c r="G151" s="158">
        <f>(((D151*(1+Parâmetros!B11)*(1+Parâmetros!C11)*(1+Parâmetros!D11))+(E151*(1+Parâmetros!C11)*(1+Parâmetros!D11)+(F151*(1+Parâmetros!D11))))/3)*(1+Parâmetros!E11)</f>
        <v>0</v>
      </c>
      <c r="H151" s="182">
        <f>G151*(1+Parâmetros!F11)</f>
        <v>0</v>
      </c>
      <c r="I151" s="182">
        <f>H151*(1+Parâmetros!G11)</f>
        <v>0</v>
      </c>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c r="FE151" s="85"/>
      <c r="FF151" s="85"/>
      <c r="FG151" s="85"/>
      <c r="FH151" s="85"/>
      <c r="FI151" s="85"/>
      <c r="FJ151" s="85"/>
      <c r="FK151" s="85"/>
      <c r="FL151" s="85"/>
      <c r="FM151" s="85"/>
      <c r="FN151" s="85"/>
      <c r="FO151" s="85"/>
      <c r="FP151" s="85"/>
      <c r="FQ151" s="85"/>
      <c r="FR151" s="85"/>
      <c r="FS151" s="85"/>
      <c r="FT151" s="85"/>
      <c r="FU151" s="85"/>
    </row>
    <row r="152" spans="1:177" ht="15.75">
      <c r="A152" s="180" t="s">
        <v>369</v>
      </c>
      <c r="B152" s="183" t="s">
        <v>682</v>
      </c>
      <c r="C152" s="89"/>
      <c r="D152" s="89"/>
      <c r="E152" s="89"/>
      <c r="F152" s="541"/>
      <c r="G152" s="158">
        <f>((D152+E152+F152)/3)*(1+Parâmetros!E11)</f>
        <v>0</v>
      </c>
      <c r="H152" s="158">
        <f>((E152+F152+G152)/3)*(1+Parâmetros!F11)</f>
        <v>0</v>
      </c>
      <c r="I152" s="158">
        <f>((F152+G152+H152)/3)*(1+Parâmetros!G11)</f>
        <v>0</v>
      </c>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c r="FF152" s="85"/>
      <c r="FG152" s="85"/>
      <c r="FH152" s="85"/>
      <c r="FI152" s="85"/>
      <c r="FJ152" s="85"/>
      <c r="FK152" s="85"/>
      <c r="FL152" s="85"/>
      <c r="FM152" s="85"/>
      <c r="FN152" s="85"/>
      <c r="FO152" s="85"/>
      <c r="FP152" s="85"/>
      <c r="FQ152" s="85"/>
      <c r="FR152" s="85"/>
      <c r="FS152" s="85"/>
      <c r="FT152" s="85"/>
      <c r="FU152" s="85"/>
    </row>
    <row r="153" spans="1:177" ht="15.75">
      <c r="A153" s="180" t="s">
        <v>570</v>
      </c>
      <c r="B153" s="183" t="s">
        <v>577</v>
      </c>
      <c r="C153" s="89"/>
      <c r="D153" s="89"/>
      <c r="E153" s="89"/>
      <c r="F153" s="541"/>
      <c r="G153" s="158">
        <f>((D153+E153+F153)/3)*(1+Parâmetros!E11)</f>
        <v>0</v>
      </c>
      <c r="H153" s="158">
        <f>((E153+F153+G153)/3)*(1+Parâmetros!F11)</f>
        <v>0</v>
      </c>
      <c r="I153" s="158">
        <f>((F153+G153+H153)/3)*(1+Parâmetros!G11)</f>
        <v>0</v>
      </c>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c r="FE153" s="85"/>
      <c r="FF153" s="85"/>
      <c r="FG153" s="85"/>
      <c r="FH153" s="85"/>
      <c r="FI153" s="85"/>
      <c r="FJ153" s="85"/>
      <c r="FK153" s="85"/>
      <c r="FL153" s="85"/>
      <c r="FM153" s="85"/>
      <c r="FN153" s="85"/>
      <c r="FO153" s="85"/>
      <c r="FP153" s="85"/>
      <c r="FQ153" s="85"/>
      <c r="FR153" s="85"/>
      <c r="FS153" s="85"/>
      <c r="FT153" s="85"/>
      <c r="FU153" s="85"/>
    </row>
    <row r="154" spans="1:177" s="90" customFormat="1" ht="15.75">
      <c r="A154" s="167" t="s">
        <v>53</v>
      </c>
      <c r="B154" s="168" t="s">
        <v>54</v>
      </c>
      <c r="C154" s="169">
        <f aca="true" t="shared" si="31" ref="C154:I154">SUM(C155:C159)</f>
        <v>373239.63</v>
      </c>
      <c r="D154" s="169">
        <f t="shared" si="31"/>
        <v>996737.68</v>
      </c>
      <c r="E154" s="169">
        <f t="shared" si="31"/>
        <v>977952.81</v>
      </c>
      <c r="F154" s="542">
        <f t="shared" si="31"/>
        <v>1310000</v>
      </c>
      <c r="G154" s="169">
        <f t="shared" si="31"/>
        <v>1346081.3477364953</v>
      </c>
      <c r="H154" s="169">
        <f t="shared" si="31"/>
        <v>1413385.4151233202</v>
      </c>
      <c r="I154" s="169">
        <f t="shared" si="31"/>
        <v>1484054.6858794861</v>
      </c>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row>
    <row r="155" spans="1:177" s="8" customFormat="1" ht="15">
      <c r="A155" s="180" t="s">
        <v>53</v>
      </c>
      <c r="B155" s="183" t="s">
        <v>372</v>
      </c>
      <c r="C155" s="84">
        <v>373239.63</v>
      </c>
      <c r="D155" s="84">
        <v>996737.68</v>
      </c>
      <c r="E155" s="84">
        <v>977952.81</v>
      </c>
      <c r="F155" s="535">
        <v>1310000</v>
      </c>
      <c r="G155" s="158">
        <f>(((D155*(1+Parâmetros!B11)*(1+Parâmetros!C11)*(1+Parâmetros!D11))+(E155*(1+Parâmetros!C11)*(1+Parâmetros!D11)+(F155*(1+Parâmetros!D11))))/3)*(1+Parâmetros!E11)</f>
        <v>1346081.3477364953</v>
      </c>
      <c r="H155" s="182">
        <f>G155*(1+Parâmetros!F11)</f>
        <v>1413385.4151233202</v>
      </c>
      <c r="I155" s="182">
        <f>H155*(1+Parâmetros!G11)</f>
        <v>1484054.6858794861</v>
      </c>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row>
    <row r="156" spans="1:177" s="8" customFormat="1" ht="15">
      <c r="A156" s="180" t="s">
        <v>53</v>
      </c>
      <c r="B156" s="183" t="s">
        <v>373</v>
      </c>
      <c r="C156" s="89"/>
      <c r="D156" s="89"/>
      <c r="E156" s="89"/>
      <c r="F156" s="541"/>
      <c r="G156" s="158">
        <f>(((D156*(1+Parâmetros!B11)*(1+Parâmetros!C11)*(1+Parâmetros!D11))+(E156*(1+Parâmetros!C11)*(1+Parâmetros!D11)+(F156*(1+Parâmetros!D11))))/3)*(1+Parâmetros!E11)</f>
        <v>0</v>
      </c>
      <c r="H156" s="182">
        <f>G156*(1+Parâmetros!F11)</f>
        <v>0</v>
      </c>
      <c r="I156" s="182">
        <f>H156*(1+Parâmetros!G11)</f>
        <v>0</v>
      </c>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row>
    <row r="157" spans="1:177" s="8" customFormat="1" ht="15">
      <c r="A157" s="180" t="s">
        <v>53</v>
      </c>
      <c r="B157" s="183" t="s">
        <v>374</v>
      </c>
      <c r="C157" s="89"/>
      <c r="D157" s="89"/>
      <c r="E157" s="89"/>
      <c r="F157" s="89"/>
      <c r="G157" s="158">
        <f>(((D157*(1+Parâmetros!B11)*(1+Parâmetros!C11)*(1+Parâmetros!D11))+(E157*(1+Parâmetros!C11)*(1+Parâmetros!D11)+(F157*(1+Parâmetros!D11))))/3)*(1+Parâmetros!E11)</f>
        <v>0</v>
      </c>
      <c r="H157" s="182">
        <f>G157*(1+Parâmetros!F11)</f>
        <v>0</v>
      </c>
      <c r="I157" s="182">
        <f>H157*(1+Parâmetros!G11)</f>
        <v>0</v>
      </c>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row>
    <row r="158" spans="1:177" s="8" customFormat="1" ht="15.75">
      <c r="A158" s="180" t="s">
        <v>53</v>
      </c>
      <c r="B158" s="183" t="s">
        <v>683</v>
      </c>
      <c r="C158" s="89"/>
      <c r="D158" s="89"/>
      <c r="E158" s="89"/>
      <c r="F158" s="89"/>
      <c r="G158" s="158">
        <f>((D158+E158+F158)/3)*(1+Parâmetros!E11)</f>
        <v>0</v>
      </c>
      <c r="H158" s="158">
        <f>((E158+F158+G158)/3)*(1+Parâmetros!F11)</f>
        <v>0</v>
      </c>
      <c r="I158" s="158">
        <f>((F158+G158+H158)/3)*(1+Parâmetros!G11)</f>
        <v>0</v>
      </c>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row>
    <row r="159" spans="1:177" s="8" customFormat="1" ht="15.75">
      <c r="A159" s="180" t="s">
        <v>571</v>
      </c>
      <c r="B159" s="183" t="s">
        <v>578</v>
      </c>
      <c r="C159" s="89"/>
      <c r="D159" s="89"/>
      <c r="E159" s="89"/>
      <c r="F159" s="89"/>
      <c r="G159" s="158">
        <f>((D159+E159+F159)/3)*(1+Parâmetros!E11)</f>
        <v>0</v>
      </c>
      <c r="H159" s="158">
        <f>((E159+F159+G159)/3)*(1+Parâmetros!F11)</f>
        <v>0</v>
      </c>
      <c r="I159" s="158">
        <f>((F159+G159+H159)/3)*(1+Parâmetros!G11)</f>
        <v>0</v>
      </c>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row>
    <row r="160" spans="1:177" s="8" customFormat="1" ht="15">
      <c r="A160" s="180" t="s">
        <v>177</v>
      </c>
      <c r="B160" s="183" t="s">
        <v>580</v>
      </c>
      <c r="C160" s="185">
        <v>1.99</v>
      </c>
      <c r="D160" s="185"/>
      <c r="E160" s="185"/>
      <c r="F160" s="185"/>
      <c r="G160" s="182">
        <f>((G114-G17-G28-G75-G100-G102)-(G124+G125+G130+G131+G136+G137+G143+G144+G149+G150+G151+G155+G156+G128+G134+G140+G147+G153+G159))</f>
        <v>1690631.763647031</v>
      </c>
      <c r="H160" s="182">
        <f>((H114-H17-H28-H75-H100-H102)-(H124+H125+H130+H131+H136+H137+H143+H144+H149+H150+H151+H155+H156+H128+H134+H140+H147+H153+H159))</f>
        <v>-6506450.580802005</v>
      </c>
      <c r="I160" s="182">
        <f>((I114-I17-I28-I75-I100-I102)-(I124+I125+I130+I131+I136+I137+I143+I144+I149+I150+I151+I155+I156+I128+I134+I140+I147+I153+I159))</f>
        <v>-15311888.392164558</v>
      </c>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row>
    <row r="161" spans="1:177" ht="15">
      <c r="A161" s="180" t="s">
        <v>178</v>
      </c>
      <c r="B161" s="181" t="s">
        <v>581</v>
      </c>
      <c r="C161" s="185">
        <v>1.99</v>
      </c>
      <c r="D161" s="185"/>
      <c r="E161" s="185"/>
      <c r="F161" s="185"/>
      <c r="G161" s="182">
        <f>G17+G28+G75+G100+G102-G126-G132-G138-G145-G157</f>
        <v>0</v>
      </c>
      <c r="H161" s="182">
        <f>H17+H28+H75+H100+H102-H126-H132-H138-H145-H157</f>
        <v>0</v>
      </c>
      <c r="I161" s="182">
        <f>I17+I28+I75+I100+I102-I126-I132-I138-I145-I157</f>
        <v>0</v>
      </c>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row>
    <row r="162" spans="1:177" s="9" customFormat="1" ht="29.25" customHeight="1" thickBot="1">
      <c r="A162" s="184"/>
      <c r="B162" s="106" t="s">
        <v>579</v>
      </c>
      <c r="C162" s="107">
        <f>C122+C141</f>
        <v>22640914.38</v>
      </c>
      <c r="D162" s="107">
        <f>D122+D141</f>
        <v>24117410.24</v>
      </c>
      <c r="E162" s="107">
        <f>E122+E141</f>
        <v>24943900.95</v>
      </c>
      <c r="F162" s="107">
        <f>F122+F141</f>
        <v>29410861.07</v>
      </c>
      <c r="G162" s="107">
        <f>G122+G141+G160+G161</f>
        <v>33917606.17891009</v>
      </c>
      <c r="H162" s="107">
        <f>H122+H141+H160+H161</f>
        <v>31514000.24028987</v>
      </c>
      <c r="I162" s="107">
        <f>I122+I141+I160+I161</f>
        <v>32277276.696465842</v>
      </c>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c r="EI162" s="102"/>
      <c r="EJ162" s="102"/>
      <c r="EK162" s="102"/>
      <c r="EL162" s="102"/>
      <c r="EM162" s="102"/>
      <c r="EN162" s="102"/>
      <c r="EO162" s="102"/>
      <c r="EP162" s="102"/>
      <c r="EQ162" s="102"/>
      <c r="ER162" s="102"/>
      <c r="ES162" s="102"/>
      <c r="ET162" s="102"/>
      <c r="EU162" s="102"/>
      <c r="EV162" s="102"/>
      <c r="EW162" s="102"/>
      <c r="EX162" s="102"/>
      <c r="EY162" s="102"/>
      <c r="EZ162" s="102"/>
      <c r="FA162" s="102"/>
      <c r="FB162" s="102"/>
      <c r="FC162" s="102"/>
      <c r="FD162" s="102"/>
      <c r="FE162" s="102"/>
      <c r="FF162" s="102"/>
      <c r="FG162" s="102"/>
      <c r="FH162" s="102"/>
      <c r="FI162" s="102"/>
      <c r="FJ162" s="102"/>
      <c r="FK162" s="102"/>
      <c r="FL162" s="102"/>
      <c r="FM162" s="102"/>
      <c r="FN162" s="102"/>
      <c r="FO162" s="102"/>
      <c r="FP162" s="102"/>
      <c r="FQ162" s="102"/>
      <c r="FR162" s="102"/>
      <c r="FS162" s="102"/>
      <c r="FT162" s="102"/>
      <c r="FU162" s="102"/>
    </row>
    <row r="163" spans="1:177" s="1" customFormat="1" ht="17.25" customHeight="1" hidden="1">
      <c r="A163" s="20"/>
      <c r="B163" s="24" t="s">
        <v>34</v>
      </c>
      <c r="C163" s="92"/>
      <c r="D163" s="93"/>
      <c r="E163" s="93"/>
      <c r="F163" s="93"/>
      <c r="G163" s="93"/>
      <c r="H163" s="93"/>
      <c r="I163" s="93"/>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c r="DW163" s="97"/>
      <c r="DX163" s="97"/>
      <c r="DY163" s="97"/>
      <c r="DZ163" s="97"/>
      <c r="EA163" s="97"/>
      <c r="EB163" s="97"/>
      <c r="EC163" s="97"/>
      <c r="ED163" s="97"/>
      <c r="EE163" s="97"/>
      <c r="EF163" s="97"/>
      <c r="EG163" s="97"/>
      <c r="EH163" s="97"/>
      <c r="EI163" s="97"/>
      <c r="EJ163" s="97"/>
      <c r="EK163" s="97"/>
      <c r="EL163" s="97"/>
      <c r="EM163" s="97"/>
      <c r="EN163" s="97"/>
      <c r="EO163" s="97"/>
      <c r="EP163" s="97"/>
      <c r="EQ163" s="97"/>
      <c r="ER163" s="97"/>
      <c r="ES163" s="97"/>
      <c r="ET163" s="97"/>
      <c r="EU163" s="97"/>
      <c r="EV163" s="97"/>
      <c r="EW163" s="97"/>
      <c r="EX163" s="97"/>
      <c r="EY163" s="97"/>
      <c r="EZ163" s="97"/>
      <c r="FA163" s="97"/>
      <c r="FB163" s="97"/>
      <c r="FC163" s="97"/>
      <c r="FD163" s="97"/>
      <c r="FE163" s="97"/>
      <c r="FF163" s="97"/>
      <c r="FG163" s="97"/>
      <c r="FH163" s="97"/>
      <c r="FI163" s="97"/>
      <c r="FJ163" s="97"/>
      <c r="FK163" s="97"/>
      <c r="FL163" s="97"/>
      <c r="FM163" s="97"/>
      <c r="FN163" s="97"/>
      <c r="FO163" s="97"/>
      <c r="FP163" s="97"/>
      <c r="FQ163" s="97"/>
      <c r="FR163" s="97"/>
      <c r="FS163" s="97"/>
      <c r="FT163" s="97"/>
      <c r="FU163" s="97"/>
    </row>
    <row r="164" spans="1:177" s="1" customFormat="1" ht="17.25" customHeight="1" hidden="1">
      <c r="A164" s="21"/>
      <c r="B164" s="22" t="s">
        <v>7</v>
      </c>
      <c r="C164" s="23" t="s">
        <v>9</v>
      </c>
      <c r="D164" s="23" t="e">
        <f>IF(#REF!&gt;0,"REALIZADO","PROJETADO")</f>
        <v>#REF!</v>
      </c>
      <c r="E164" s="23" t="e">
        <f>IF(#REF!&gt;0,"REALIZADO","PROJETADO")</f>
        <v>#REF!</v>
      </c>
      <c r="F164" s="23" t="e">
        <f>IF(#REF!&gt;0,"REALIZADO","PROJETADO")</f>
        <v>#REF!</v>
      </c>
      <c r="G164" s="23" t="s">
        <v>12</v>
      </c>
      <c r="H164" s="23"/>
      <c r="I164" s="23" t="s">
        <v>12</v>
      </c>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c r="DW164" s="97"/>
      <c r="DX164" s="97"/>
      <c r="DY164" s="97"/>
      <c r="DZ164" s="97"/>
      <c r="EA164" s="97"/>
      <c r="EB164" s="97"/>
      <c r="EC164" s="97"/>
      <c r="ED164" s="97"/>
      <c r="EE164" s="97"/>
      <c r="EF164" s="97"/>
      <c r="EG164" s="97"/>
      <c r="EH164" s="97"/>
      <c r="EI164" s="97"/>
      <c r="EJ164" s="97"/>
      <c r="EK164" s="97"/>
      <c r="EL164" s="97"/>
      <c r="EM164" s="97"/>
      <c r="EN164" s="97"/>
      <c r="EO164" s="97"/>
      <c r="EP164" s="97"/>
      <c r="EQ164" s="97"/>
      <c r="ER164" s="97"/>
      <c r="ES164" s="97"/>
      <c r="ET164" s="97"/>
      <c r="EU164" s="97"/>
      <c r="EV164" s="97"/>
      <c r="EW164" s="97"/>
      <c r="EX164" s="97"/>
      <c r="EY164" s="97"/>
      <c r="EZ164" s="97"/>
      <c r="FA164" s="97"/>
      <c r="FB164" s="97"/>
      <c r="FC164" s="97"/>
      <c r="FD164" s="97"/>
      <c r="FE164" s="97"/>
      <c r="FF164" s="97"/>
      <c r="FG164" s="97"/>
      <c r="FH164" s="97"/>
      <c r="FI164" s="97"/>
      <c r="FJ164" s="97"/>
      <c r="FK164" s="97"/>
      <c r="FL164" s="97"/>
      <c r="FM164" s="97"/>
      <c r="FN164" s="97"/>
      <c r="FO164" s="97"/>
      <c r="FP164" s="97"/>
      <c r="FQ164" s="97"/>
      <c r="FR164" s="97"/>
      <c r="FS164" s="97"/>
      <c r="FT164" s="97"/>
      <c r="FU164" s="97"/>
    </row>
    <row r="165" spans="1:177" s="1" customFormat="1" ht="17.25" customHeight="1" hidden="1">
      <c r="A165" s="21"/>
      <c r="B165" s="94" t="s">
        <v>6</v>
      </c>
      <c r="C165" s="95">
        <v>1999</v>
      </c>
      <c r="D165" s="95">
        <v>2000</v>
      </c>
      <c r="E165" s="95">
        <v>2001</v>
      </c>
      <c r="F165" s="95">
        <v>2002</v>
      </c>
      <c r="G165" s="95">
        <v>2003</v>
      </c>
      <c r="H165" s="95"/>
      <c r="I165" s="95">
        <v>2004</v>
      </c>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c r="DW165" s="97"/>
      <c r="DX165" s="97"/>
      <c r="DY165" s="97"/>
      <c r="DZ165" s="97"/>
      <c r="EA165" s="97"/>
      <c r="EB165" s="97"/>
      <c r="EC165" s="97"/>
      <c r="ED165" s="97"/>
      <c r="EE165" s="97"/>
      <c r="EF165" s="97"/>
      <c r="EG165" s="97"/>
      <c r="EH165" s="97"/>
      <c r="EI165" s="97"/>
      <c r="EJ165" s="97"/>
      <c r="EK165" s="97"/>
      <c r="EL165" s="97"/>
      <c r="EM165" s="97"/>
      <c r="EN165" s="97"/>
      <c r="EO165" s="97"/>
      <c r="EP165" s="97"/>
      <c r="EQ165" s="97"/>
      <c r="ER165" s="97"/>
      <c r="ES165" s="97"/>
      <c r="ET165" s="97"/>
      <c r="EU165" s="97"/>
      <c r="EV165" s="97"/>
      <c r="EW165" s="97"/>
      <c r="EX165" s="97"/>
      <c r="EY165" s="97"/>
      <c r="EZ165" s="97"/>
      <c r="FA165" s="97"/>
      <c r="FB165" s="97"/>
      <c r="FC165" s="97"/>
      <c r="FD165" s="97"/>
      <c r="FE165" s="97"/>
      <c r="FF165" s="97"/>
      <c r="FG165" s="97"/>
      <c r="FH165" s="97"/>
      <c r="FI165" s="97"/>
      <c r="FJ165" s="97"/>
      <c r="FK165" s="97"/>
      <c r="FL165" s="97"/>
      <c r="FM165" s="97"/>
      <c r="FN165" s="97"/>
      <c r="FO165" s="97"/>
      <c r="FP165" s="97"/>
      <c r="FQ165" s="97"/>
      <c r="FR165" s="97"/>
      <c r="FS165" s="97"/>
      <c r="FT165" s="97"/>
      <c r="FU165" s="97"/>
    </row>
    <row r="166" spans="1:177" s="1" customFormat="1" ht="17.25" customHeight="1" hidden="1">
      <c r="A166" s="21"/>
      <c r="B166" s="24"/>
      <c r="C166" s="25"/>
      <c r="D166" s="25"/>
      <c r="E166" s="25"/>
      <c r="F166" s="25"/>
      <c r="G166" s="25"/>
      <c r="H166" s="25"/>
      <c r="I166" s="25"/>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c r="DW166" s="97"/>
      <c r="DX166" s="97"/>
      <c r="DY166" s="97"/>
      <c r="DZ166" s="97"/>
      <c r="EA166" s="97"/>
      <c r="EB166" s="97"/>
      <c r="EC166" s="97"/>
      <c r="ED166" s="97"/>
      <c r="EE166" s="97"/>
      <c r="EF166" s="97"/>
      <c r="EG166" s="97"/>
      <c r="EH166" s="97"/>
      <c r="EI166" s="97"/>
      <c r="EJ166" s="97"/>
      <c r="EK166" s="97"/>
      <c r="EL166" s="97"/>
      <c r="EM166" s="97"/>
      <c r="EN166" s="97"/>
      <c r="EO166" s="97"/>
      <c r="EP166" s="97"/>
      <c r="EQ166" s="97"/>
      <c r="ER166" s="97"/>
      <c r="ES166" s="97"/>
      <c r="ET166" s="97"/>
      <c r="EU166" s="97"/>
      <c r="EV166" s="97"/>
      <c r="EW166" s="97"/>
      <c r="EX166" s="97"/>
      <c r="EY166" s="97"/>
      <c r="EZ166" s="97"/>
      <c r="FA166" s="97"/>
      <c r="FB166" s="97"/>
      <c r="FC166" s="97"/>
      <c r="FD166" s="97"/>
      <c r="FE166" s="97"/>
      <c r="FF166" s="97"/>
      <c r="FG166" s="97"/>
      <c r="FH166" s="97"/>
      <c r="FI166" s="97"/>
      <c r="FJ166" s="97"/>
      <c r="FK166" s="97"/>
      <c r="FL166" s="97"/>
      <c r="FM166" s="97"/>
      <c r="FN166" s="97"/>
      <c r="FO166" s="97"/>
      <c r="FP166" s="97"/>
      <c r="FQ166" s="97"/>
      <c r="FR166" s="97"/>
      <c r="FS166" s="97"/>
      <c r="FT166" s="97"/>
      <c r="FU166" s="97"/>
    </row>
    <row r="167" spans="1:177" s="1" customFormat="1" ht="16.5" hidden="1" thickBot="1">
      <c r="A167" s="21"/>
      <c r="B167" s="24" t="s">
        <v>14</v>
      </c>
      <c r="C167" s="26" t="e">
        <f>C8-#REF!-C14+C171-#REF!</f>
        <v>#REF!</v>
      </c>
      <c r="D167" s="26" t="e">
        <f>D8-#REF!-D14+D171-#REF!</f>
        <v>#REF!</v>
      </c>
      <c r="E167" s="26" t="e">
        <f>E8-#REF!-E14+E171-#REF!</f>
        <v>#REF!</v>
      </c>
      <c r="F167" s="26" t="e">
        <f>F8-#REF!-F14+F171-#REF!</f>
        <v>#REF!</v>
      </c>
      <c r="G167" s="26" t="e">
        <f>G8-#REF!-G14+G171-#REF!</f>
        <v>#REF!</v>
      </c>
      <c r="H167" s="26"/>
      <c r="I167" s="26" t="e">
        <f>I8-#REF!-I14+I171-#REF!</f>
        <v>#REF!</v>
      </c>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c r="DW167" s="97"/>
      <c r="DX167" s="97"/>
      <c r="DY167" s="97"/>
      <c r="DZ167" s="97"/>
      <c r="EA167" s="97"/>
      <c r="EB167" s="97"/>
      <c r="EC167" s="97"/>
      <c r="ED167" s="97"/>
      <c r="EE167" s="97"/>
      <c r="EF167" s="97"/>
      <c r="EG167" s="97"/>
      <c r="EH167" s="97"/>
      <c r="EI167" s="97"/>
      <c r="EJ167" s="97"/>
      <c r="EK167" s="97"/>
      <c r="EL167" s="97"/>
      <c r="EM167" s="97"/>
      <c r="EN167" s="97"/>
      <c r="EO167" s="97"/>
      <c r="EP167" s="97"/>
      <c r="EQ167" s="97"/>
      <c r="ER167" s="97"/>
      <c r="ES167" s="97"/>
      <c r="ET167" s="97"/>
      <c r="EU167" s="97"/>
      <c r="EV167" s="97"/>
      <c r="EW167" s="97"/>
      <c r="EX167" s="97"/>
      <c r="EY167" s="97"/>
      <c r="EZ167" s="97"/>
      <c r="FA167" s="97"/>
      <c r="FB167" s="97"/>
      <c r="FC167" s="97"/>
      <c r="FD167" s="97"/>
      <c r="FE167" s="97"/>
      <c r="FF167" s="97"/>
      <c r="FG167" s="97"/>
      <c r="FH167" s="97"/>
      <c r="FI167" s="97"/>
      <c r="FJ167" s="97"/>
      <c r="FK167" s="97"/>
      <c r="FL167" s="97"/>
      <c r="FM167" s="97"/>
      <c r="FN167" s="97"/>
      <c r="FO167" s="97"/>
      <c r="FP167" s="97"/>
      <c r="FQ167" s="97"/>
      <c r="FR167" s="97"/>
      <c r="FS167" s="97"/>
      <c r="FT167" s="97"/>
      <c r="FU167" s="97"/>
    </row>
    <row r="168" spans="1:177" s="1" customFormat="1" ht="16.5" hidden="1" thickBot="1">
      <c r="A168" s="21"/>
      <c r="B168" s="24" t="s">
        <v>15</v>
      </c>
      <c r="C168" s="26">
        <f>C9</f>
        <v>1277005.48</v>
      </c>
      <c r="D168" s="26">
        <f>D9</f>
        <v>2644079.73</v>
      </c>
      <c r="E168" s="26">
        <f>E9</f>
        <v>1509617.54</v>
      </c>
      <c r="F168" s="26">
        <f>F9</f>
        <v>1629194.8900000001</v>
      </c>
      <c r="G168" s="26">
        <f>G9</f>
        <v>1777779.1594314552</v>
      </c>
      <c r="H168" s="26"/>
      <c r="I168" s="26">
        <f>I9</f>
        <v>1676581.070164386</v>
      </c>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c r="EC168" s="97"/>
      <c r="ED168" s="97"/>
      <c r="EE168" s="97"/>
      <c r="EF168" s="97"/>
      <c r="EG168" s="97"/>
      <c r="EH168" s="97"/>
      <c r="EI168" s="97"/>
      <c r="EJ168" s="97"/>
      <c r="EK168" s="97"/>
      <c r="EL168" s="97"/>
      <c r="EM168" s="97"/>
      <c r="EN168" s="97"/>
      <c r="EO168" s="97"/>
      <c r="EP168" s="97"/>
      <c r="EQ168" s="97"/>
      <c r="ER168" s="97"/>
      <c r="ES168" s="97"/>
      <c r="ET168" s="97"/>
      <c r="EU168" s="97"/>
      <c r="EV168" s="97"/>
      <c r="EW168" s="97"/>
      <c r="EX168" s="97"/>
      <c r="EY168" s="97"/>
      <c r="EZ168" s="97"/>
      <c r="FA168" s="97"/>
      <c r="FB168" s="97"/>
      <c r="FC168" s="97"/>
      <c r="FD168" s="97"/>
      <c r="FE168" s="97"/>
      <c r="FF168" s="97"/>
      <c r="FG168" s="97"/>
      <c r="FH168" s="97"/>
      <c r="FI168" s="97"/>
      <c r="FJ168" s="97"/>
      <c r="FK168" s="97"/>
      <c r="FL168" s="97"/>
      <c r="FM168" s="97"/>
      <c r="FN168" s="97"/>
      <c r="FO168" s="97"/>
      <c r="FP168" s="97"/>
      <c r="FQ168" s="97"/>
      <c r="FR168" s="97"/>
      <c r="FS168" s="97"/>
      <c r="FT168" s="97"/>
      <c r="FU168" s="97"/>
    </row>
    <row r="169" spans="1:177" s="1" customFormat="1" ht="16.5" hidden="1" thickBot="1">
      <c r="A169" s="21"/>
      <c r="B169" s="24" t="s">
        <v>16</v>
      </c>
      <c r="C169" s="26" t="e">
        <f>C19+C20+C21+#REF!+#REF!+#REF!+#REF!</f>
        <v>#REF!</v>
      </c>
      <c r="D169" s="26" t="e">
        <f>D19+D20+D21+#REF!+#REF!+#REF!+#REF!</f>
        <v>#REF!</v>
      </c>
      <c r="E169" s="26" t="e">
        <f>E19+E20+E21+#REF!+#REF!+#REF!+#REF!</f>
        <v>#REF!</v>
      </c>
      <c r="F169" s="26" t="e">
        <f>F19+F20+F21+#REF!+#REF!+#REF!+#REF!</f>
        <v>#REF!</v>
      </c>
      <c r="G169" s="26" t="e">
        <f>G19+G20+G21+#REF!+#REF!+#REF!+#REF!</f>
        <v>#REF!</v>
      </c>
      <c r="H169" s="26"/>
      <c r="I169" s="26" t="e">
        <f>I19+I20+I21+#REF!+#REF!+#REF!+#REF!</f>
        <v>#REF!</v>
      </c>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c r="DW169" s="97"/>
      <c r="DX169" s="97"/>
      <c r="DY169" s="97"/>
      <c r="DZ169" s="97"/>
      <c r="EA169" s="97"/>
      <c r="EB169" s="97"/>
      <c r="EC169" s="97"/>
      <c r="ED169" s="97"/>
      <c r="EE169" s="97"/>
      <c r="EF169" s="97"/>
      <c r="EG169" s="97"/>
      <c r="EH169" s="97"/>
      <c r="EI169" s="97"/>
      <c r="EJ169" s="97"/>
      <c r="EK169" s="97"/>
      <c r="EL169" s="97"/>
      <c r="EM169" s="97"/>
      <c r="EN169" s="97"/>
      <c r="EO169" s="97"/>
      <c r="EP169" s="97"/>
      <c r="EQ169" s="97"/>
      <c r="ER169" s="97"/>
      <c r="ES169" s="97"/>
      <c r="ET169" s="97"/>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row>
    <row r="170" spans="1:177" s="1" customFormat="1" ht="16.5" hidden="1" thickBot="1">
      <c r="A170" s="21"/>
      <c r="B170" s="24" t="s">
        <v>17</v>
      </c>
      <c r="C170" s="26" t="e">
        <f>#REF!</f>
        <v>#REF!</v>
      </c>
      <c r="D170" s="26" t="e">
        <f>#REF!</f>
        <v>#REF!</v>
      </c>
      <c r="E170" s="26" t="e">
        <f>#REF!</f>
        <v>#REF!</v>
      </c>
      <c r="F170" s="26" t="e">
        <f>#REF!</f>
        <v>#REF!</v>
      </c>
      <c r="G170" s="26" t="e">
        <f>#REF!</f>
        <v>#REF!</v>
      </c>
      <c r="H170" s="26"/>
      <c r="I170" s="26" t="e">
        <f>#REF!</f>
        <v>#REF!</v>
      </c>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c r="DW170" s="97"/>
      <c r="DX170" s="97"/>
      <c r="DY170" s="97"/>
      <c r="DZ170" s="97"/>
      <c r="EA170" s="97"/>
      <c r="EB170" s="97"/>
      <c r="EC170" s="97"/>
      <c r="ED170" s="97"/>
      <c r="EE170" s="97"/>
      <c r="EF170" s="97"/>
      <c r="EG170" s="97"/>
      <c r="EH170" s="97"/>
      <c r="EI170" s="97"/>
      <c r="EJ170" s="97"/>
      <c r="EK170" s="97"/>
      <c r="EL170" s="97"/>
      <c r="EM170" s="97"/>
      <c r="EN170" s="97"/>
      <c r="EO170" s="97"/>
      <c r="EP170" s="97"/>
      <c r="EQ170" s="97"/>
      <c r="ER170" s="97"/>
      <c r="ES170" s="97"/>
      <c r="ET170" s="97"/>
      <c r="EU170" s="97"/>
      <c r="EV170" s="97"/>
      <c r="EW170" s="97"/>
      <c r="EX170" s="97"/>
      <c r="EY170" s="97"/>
      <c r="EZ170" s="97"/>
      <c r="FA170" s="97"/>
      <c r="FB170" s="97"/>
      <c r="FC170" s="97"/>
      <c r="FD170" s="97"/>
      <c r="FE170" s="97"/>
      <c r="FF170" s="97"/>
      <c r="FG170" s="97"/>
      <c r="FH170" s="97"/>
      <c r="FI170" s="97"/>
      <c r="FJ170" s="97"/>
      <c r="FK170" s="97"/>
      <c r="FL170" s="97"/>
      <c r="FM170" s="97"/>
      <c r="FN170" s="97"/>
      <c r="FO170" s="97"/>
      <c r="FP170" s="97"/>
      <c r="FQ170" s="97"/>
      <c r="FR170" s="97"/>
      <c r="FS170" s="97"/>
      <c r="FT170" s="97"/>
      <c r="FU170" s="97"/>
    </row>
    <row r="171" spans="1:177" s="1" customFormat="1" ht="16.5" hidden="1" thickBot="1">
      <c r="A171" s="21"/>
      <c r="B171" s="24" t="s">
        <v>18</v>
      </c>
      <c r="C171" s="26" t="e">
        <f>#REF!-#REF!</f>
        <v>#REF!</v>
      </c>
      <c r="D171" s="26" t="e">
        <f>#REF!-#REF!</f>
        <v>#REF!</v>
      </c>
      <c r="E171" s="26" t="e">
        <f>#REF!-#REF!</f>
        <v>#REF!</v>
      </c>
      <c r="F171" s="26" t="e">
        <f>#REF!-#REF!</f>
        <v>#REF!</v>
      </c>
      <c r="G171" s="26" t="e">
        <f>#REF!-#REF!</f>
        <v>#REF!</v>
      </c>
      <c r="H171" s="26"/>
      <c r="I171" s="26" t="e">
        <f>#REF!-#REF!</f>
        <v>#REF!</v>
      </c>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c r="DQ171" s="97"/>
      <c r="DR171" s="97"/>
      <c r="DS171" s="97"/>
      <c r="DT171" s="97"/>
      <c r="DU171" s="97"/>
      <c r="DV171" s="97"/>
      <c r="DW171" s="97"/>
      <c r="DX171" s="97"/>
      <c r="DY171" s="97"/>
      <c r="DZ171" s="97"/>
      <c r="EA171" s="97"/>
      <c r="EB171" s="97"/>
      <c r="EC171" s="97"/>
      <c r="ED171" s="97"/>
      <c r="EE171" s="97"/>
      <c r="EF171" s="97"/>
      <c r="EG171" s="97"/>
      <c r="EH171" s="97"/>
      <c r="EI171" s="97"/>
      <c r="EJ171" s="97"/>
      <c r="EK171" s="97"/>
      <c r="EL171" s="97"/>
      <c r="EM171" s="97"/>
      <c r="EN171" s="97"/>
      <c r="EO171" s="97"/>
      <c r="EP171" s="97"/>
      <c r="EQ171" s="97"/>
      <c r="ER171" s="97"/>
      <c r="ES171" s="97"/>
      <c r="ET171" s="97"/>
      <c r="EU171" s="97"/>
      <c r="EV171" s="97"/>
      <c r="EW171" s="97"/>
      <c r="EX171" s="97"/>
      <c r="EY171" s="97"/>
      <c r="EZ171" s="97"/>
      <c r="FA171" s="97"/>
      <c r="FB171" s="97"/>
      <c r="FC171" s="97"/>
      <c r="FD171" s="97"/>
      <c r="FE171" s="97"/>
      <c r="FF171" s="97"/>
      <c r="FG171" s="97"/>
      <c r="FH171" s="97"/>
      <c r="FI171" s="97"/>
      <c r="FJ171" s="97"/>
      <c r="FK171" s="97"/>
      <c r="FL171" s="97"/>
      <c r="FM171" s="97"/>
      <c r="FN171" s="97"/>
      <c r="FO171" s="97"/>
      <c r="FP171" s="97"/>
      <c r="FQ171" s="97"/>
      <c r="FR171" s="97"/>
      <c r="FS171" s="97"/>
      <c r="FT171" s="97"/>
      <c r="FU171" s="97"/>
    </row>
    <row r="172" spans="1:177" s="1" customFormat="1" ht="16.5" hidden="1" thickBot="1">
      <c r="A172" s="21"/>
      <c r="B172" s="24" t="s">
        <v>19</v>
      </c>
      <c r="C172" s="26" t="e">
        <f>#REF!</f>
        <v>#REF!</v>
      </c>
      <c r="D172" s="26" t="e">
        <f>#REF!</f>
        <v>#REF!</v>
      </c>
      <c r="E172" s="26" t="e">
        <f>#REF!</f>
        <v>#REF!</v>
      </c>
      <c r="F172" s="26" t="e">
        <f>#REF!</f>
        <v>#REF!</v>
      </c>
      <c r="G172" s="26" t="e">
        <f>#REF!</f>
        <v>#REF!</v>
      </c>
      <c r="H172" s="26"/>
      <c r="I172" s="26" t="e">
        <f>#REF!</f>
        <v>#REF!</v>
      </c>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c r="DW172" s="97"/>
      <c r="DX172" s="97"/>
      <c r="DY172" s="97"/>
      <c r="DZ172" s="97"/>
      <c r="EA172" s="97"/>
      <c r="EB172" s="97"/>
      <c r="EC172" s="97"/>
      <c r="ED172" s="97"/>
      <c r="EE172" s="97"/>
      <c r="EF172" s="97"/>
      <c r="EG172" s="97"/>
      <c r="EH172" s="97"/>
      <c r="EI172" s="97"/>
      <c r="EJ172" s="97"/>
      <c r="EK172" s="97"/>
      <c r="EL172" s="97"/>
      <c r="EM172" s="97"/>
      <c r="EN172" s="97"/>
      <c r="EO172" s="97"/>
      <c r="EP172" s="97"/>
      <c r="EQ172" s="97"/>
      <c r="ER172" s="97"/>
      <c r="ES172" s="97"/>
      <c r="ET172" s="97"/>
      <c r="EU172" s="97"/>
      <c r="EV172" s="97"/>
      <c r="EW172" s="97"/>
      <c r="EX172" s="97"/>
      <c r="EY172" s="97"/>
      <c r="EZ172" s="97"/>
      <c r="FA172" s="97"/>
      <c r="FB172" s="97"/>
      <c r="FC172" s="97"/>
      <c r="FD172" s="97"/>
      <c r="FE172" s="97"/>
      <c r="FF172" s="97"/>
      <c r="FG172" s="97"/>
      <c r="FH172" s="97"/>
      <c r="FI172" s="97"/>
      <c r="FJ172" s="97"/>
      <c r="FK172" s="97"/>
      <c r="FL172" s="97"/>
      <c r="FM172" s="97"/>
      <c r="FN172" s="97"/>
      <c r="FO172" s="97"/>
      <c r="FP172" s="97"/>
      <c r="FQ172" s="97"/>
      <c r="FR172" s="97"/>
      <c r="FS172" s="97"/>
      <c r="FT172" s="97"/>
      <c r="FU172" s="97"/>
    </row>
    <row r="173" spans="1:177" s="1" customFormat="1" ht="16.5" hidden="1" thickBot="1">
      <c r="A173" s="21"/>
      <c r="B173" s="24" t="s">
        <v>20</v>
      </c>
      <c r="C173" s="26" t="e">
        <f>#REF!</f>
        <v>#REF!</v>
      </c>
      <c r="D173" s="26" t="e">
        <f>#REF!</f>
        <v>#REF!</v>
      </c>
      <c r="E173" s="26" t="e">
        <f>#REF!</f>
        <v>#REF!</v>
      </c>
      <c r="F173" s="26" t="e">
        <f>#REF!</f>
        <v>#REF!</v>
      </c>
      <c r="G173" s="26" t="e">
        <f>#REF!</f>
        <v>#REF!</v>
      </c>
      <c r="H173" s="26"/>
      <c r="I173" s="26" t="e">
        <f>#REF!</f>
        <v>#REF!</v>
      </c>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c r="DW173" s="97"/>
      <c r="DX173" s="97"/>
      <c r="DY173" s="97"/>
      <c r="DZ173" s="97"/>
      <c r="EA173" s="97"/>
      <c r="EB173" s="97"/>
      <c r="EC173" s="97"/>
      <c r="ED173" s="97"/>
      <c r="EE173" s="97"/>
      <c r="EF173" s="97"/>
      <c r="EG173" s="97"/>
      <c r="EH173" s="97"/>
      <c r="EI173" s="97"/>
      <c r="EJ173" s="97"/>
      <c r="EK173" s="97"/>
      <c r="EL173" s="97"/>
      <c r="EM173" s="97"/>
      <c r="EN173" s="97"/>
      <c r="EO173" s="97"/>
      <c r="EP173" s="97"/>
      <c r="EQ173" s="97"/>
      <c r="ER173" s="97"/>
      <c r="ES173" s="97"/>
      <c r="ET173" s="97"/>
      <c r="EU173" s="97"/>
      <c r="EV173" s="97"/>
      <c r="EW173" s="97"/>
      <c r="EX173" s="97"/>
      <c r="EY173" s="97"/>
      <c r="EZ173" s="97"/>
      <c r="FA173" s="97"/>
      <c r="FB173" s="97"/>
      <c r="FC173" s="97"/>
      <c r="FD173" s="97"/>
      <c r="FE173" s="97"/>
      <c r="FF173" s="97"/>
      <c r="FG173" s="97"/>
      <c r="FH173" s="97"/>
      <c r="FI173" s="97"/>
      <c r="FJ173" s="97"/>
      <c r="FK173" s="97"/>
      <c r="FL173" s="97"/>
      <c r="FM173" s="97"/>
      <c r="FN173" s="97"/>
      <c r="FO173" s="97"/>
      <c r="FP173" s="97"/>
      <c r="FQ173" s="97"/>
      <c r="FR173" s="97"/>
      <c r="FS173" s="97"/>
      <c r="FT173" s="97"/>
      <c r="FU173" s="97"/>
    </row>
    <row r="174" spans="1:177" s="1" customFormat="1" ht="16.5" hidden="1" thickBot="1">
      <c r="A174" s="21"/>
      <c r="B174" s="24" t="s">
        <v>21</v>
      </c>
      <c r="C174" s="26" t="e">
        <f>#REF!</f>
        <v>#REF!</v>
      </c>
      <c r="D174" s="26" t="e">
        <f>#REF!</f>
        <v>#REF!</v>
      </c>
      <c r="E174" s="26" t="e">
        <f>#REF!</f>
        <v>#REF!</v>
      </c>
      <c r="F174" s="26" t="e">
        <f>#REF!</f>
        <v>#REF!</v>
      </c>
      <c r="G174" s="26" t="e">
        <f>#REF!</f>
        <v>#REF!</v>
      </c>
      <c r="H174" s="26"/>
      <c r="I174" s="26" t="e">
        <f>#REF!</f>
        <v>#REF!</v>
      </c>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97"/>
      <c r="ED174" s="97"/>
      <c r="EE174" s="97"/>
      <c r="EF174" s="97"/>
      <c r="EG174" s="97"/>
      <c r="EH174" s="97"/>
      <c r="EI174" s="97"/>
      <c r="EJ174" s="97"/>
      <c r="EK174" s="97"/>
      <c r="EL174" s="97"/>
      <c r="EM174" s="97"/>
      <c r="EN174" s="97"/>
      <c r="EO174" s="97"/>
      <c r="EP174" s="97"/>
      <c r="EQ174" s="97"/>
      <c r="ER174" s="97"/>
      <c r="ES174" s="97"/>
      <c r="ET174" s="97"/>
      <c r="EU174" s="97"/>
      <c r="EV174" s="97"/>
      <c r="EW174" s="97"/>
      <c r="EX174" s="97"/>
      <c r="EY174" s="97"/>
      <c r="EZ174" s="97"/>
      <c r="FA174" s="97"/>
      <c r="FB174" s="97"/>
      <c r="FC174" s="97"/>
      <c r="FD174" s="97"/>
      <c r="FE174" s="97"/>
      <c r="FF174" s="97"/>
      <c r="FG174" s="97"/>
      <c r="FH174" s="97"/>
      <c r="FI174" s="97"/>
      <c r="FJ174" s="97"/>
      <c r="FK174" s="97"/>
      <c r="FL174" s="97"/>
      <c r="FM174" s="97"/>
      <c r="FN174" s="97"/>
      <c r="FO174" s="97"/>
      <c r="FP174" s="97"/>
      <c r="FQ174" s="97"/>
      <c r="FR174" s="97"/>
      <c r="FS174" s="97"/>
      <c r="FT174" s="97"/>
      <c r="FU174" s="97"/>
    </row>
    <row r="175" spans="1:177" s="1" customFormat="1" ht="16.5" hidden="1" thickBot="1">
      <c r="A175" s="21"/>
      <c r="B175" s="24" t="s">
        <v>22</v>
      </c>
      <c r="C175" s="26" t="e">
        <f>#REF!</f>
        <v>#REF!</v>
      </c>
      <c r="D175" s="26" t="e">
        <f>#REF!</f>
        <v>#REF!</v>
      </c>
      <c r="E175" s="26" t="e">
        <f>#REF!</f>
        <v>#REF!</v>
      </c>
      <c r="F175" s="26" t="e">
        <f>#REF!</f>
        <v>#REF!</v>
      </c>
      <c r="G175" s="26" t="e">
        <f>#REF!</f>
        <v>#REF!</v>
      </c>
      <c r="H175" s="26"/>
      <c r="I175" s="26" t="e">
        <f>#REF!</f>
        <v>#REF!</v>
      </c>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c r="EC175" s="97"/>
      <c r="ED175" s="97"/>
      <c r="EE175" s="97"/>
      <c r="EF175" s="97"/>
      <c r="EG175" s="97"/>
      <c r="EH175" s="97"/>
      <c r="EI175" s="97"/>
      <c r="EJ175" s="97"/>
      <c r="EK175" s="97"/>
      <c r="EL175" s="97"/>
      <c r="EM175" s="97"/>
      <c r="EN175" s="97"/>
      <c r="EO175" s="97"/>
      <c r="EP175" s="97"/>
      <c r="EQ175" s="97"/>
      <c r="ER175" s="97"/>
      <c r="ES175" s="97"/>
      <c r="ET175" s="97"/>
      <c r="EU175" s="97"/>
      <c r="EV175" s="97"/>
      <c r="EW175" s="97"/>
      <c r="EX175" s="97"/>
      <c r="EY175" s="97"/>
      <c r="EZ175" s="97"/>
      <c r="FA175" s="97"/>
      <c r="FB175" s="97"/>
      <c r="FC175" s="97"/>
      <c r="FD175" s="97"/>
      <c r="FE175" s="97"/>
      <c r="FF175" s="97"/>
      <c r="FG175" s="97"/>
      <c r="FH175" s="97"/>
      <c r="FI175" s="97"/>
      <c r="FJ175" s="97"/>
      <c r="FK175" s="97"/>
      <c r="FL175" s="97"/>
      <c r="FM175" s="97"/>
      <c r="FN175" s="97"/>
      <c r="FO175" s="97"/>
      <c r="FP175" s="97"/>
      <c r="FQ175" s="97"/>
      <c r="FR175" s="97"/>
      <c r="FS175" s="97"/>
      <c r="FT175" s="97"/>
      <c r="FU175" s="97"/>
    </row>
    <row r="176" spans="1:177" s="1" customFormat="1" ht="16.5" hidden="1" thickBot="1">
      <c r="A176" s="21"/>
      <c r="B176" s="24" t="s">
        <v>23</v>
      </c>
      <c r="C176" s="26" t="e">
        <f>#REF!+#REF!+C149+C150+C154+#REF!+C161+C162+C129+#REF!</f>
        <v>#REF!</v>
      </c>
      <c r="D176" s="26" t="e">
        <f>#REF!+#REF!+D149+D150+D154+#REF!+D161+D162+D129+#REF!</f>
        <v>#REF!</v>
      </c>
      <c r="E176" s="26" t="e">
        <f>#REF!+#REF!+E149+E150+E154+#REF!+E161+E162+E129+#REF!</f>
        <v>#REF!</v>
      </c>
      <c r="F176" s="26" t="e">
        <f>#REF!+#REF!+F149+F150+F154+#REF!+F161+F162+F129+#REF!</f>
        <v>#REF!</v>
      </c>
      <c r="G176" s="26" t="e">
        <f>#REF!+#REF!+G149+G150+G154+#REF!+G161+G162+G129+#REF!</f>
        <v>#REF!</v>
      </c>
      <c r="H176" s="26"/>
      <c r="I176" s="26" t="e">
        <f>#REF!+#REF!+I149+I150+I154+#REF!+I161+I162+I129+#REF!</f>
        <v>#REF!</v>
      </c>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97"/>
      <c r="ED176" s="97"/>
      <c r="EE176" s="97"/>
      <c r="EF176" s="97"/>
      <c r="EG176" s="97"/>
      <c r="EH176" s="97"/>
      <c r="EI176" s="97"/>
      <c r="EJ176" s="97"/>
      <c r="EK176" s="97"/>
      <c r="EL176" s="97"/>
      <c r="EM176" s="97"/>
      <c r="EN176" s="97"/>
      <c r="EO176" s="97"/>
      <c r="EP176" s="97"/>
      <c r="EQ176" s="97"/>
      <c r="ER176" s="97"/>
      <c r="ES176" s="97"/>
      <c r="ET176" s="97"/>
      <c r="EU176" s="97"/>
      <c r="EV176" s="97"/>
      <c r="EW176" s="97"/>
      <c r="EX176" s="97"/>
      <c r="EY176" s="97"/>
      <c r="EZ176" s="97"/>
      <c r="FA176" s="97"/>
      <c r="FB176" s="97"/>
      <c r="FC176" s="97"/>
      <c r="FD176" s="97"/>
      <c r="FE176" s="97"/>
      <c r="FF176" s="97"/>
      <c r="FG176" s="97"/>
      <c r="FH176" s="97"/>
      <c r="FI176" s="97"/>
      <c r="FJ176" s="97"/>
      <c r="FK176" s="97"/>
      <c r="FL176" s="97"/>
      <c r="FM176" s="97"/>
      <c r="FN176" s="97"/>
      <c r="FO176" s="97"/>
      <c r="FP176" s="97"/>
      <c r="FQ176" s="97"/>
      <c r="FR176" s="97"/>
      <c r="FS176" s="97"/>
      <c r="FT176" s="97"/>
      <c r="FU176" s="97"/>
    </row>
    <row r="177" spans="1:177" s="1" customFormat="1" ht="16.5" hidden="1" thickBot="1">
      <c r="A177" s="21"/>
      <c r="B177" s="24" t="s">
        <v>24</v>
      </c>
      <c r="C177" s="26" t="e">
        <f>#REF!+#REF!</f>
        <v>#REF!</v>
      </c>
      <c r="D177" s="26" t="e">
        <f>#REF!+#REF!</f>
        <v>#REF!</v>
      </c>
      <c r="E177" s="26" t="e">
        <f>#REF!+#REF!</f>
        <v>#REF!</v>
      </c>
      <c r="F177" s="26" t="e">
        <f>#REF!+#REF!</f>
        <v>#REF!</v>
      </c>
      <c r="G177" s="26" t="e">
        <f>#REF!+#REF!</f>
        <v>#REF!</v>
      </c>
      <c r="H177" s="26"/>
      <c r="I177" s="26" t="e">
        <f>#REF!+#REF!</f>
        <v>#REF!</v>
      </c>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c r="DQ177" s="97"/>
      <c r="DR177" s="97"/>
      <c r="DS177" s="97"/>
      <c r="DT177" s="97"/>
      <c r="DU177" s="97"/>
      <c r="DV177" s="97"/>
      <c r="DW177" s="97"/>
      <c r="DX177" s="97"/>
      <c r="DY177" s="97"/>
      <c r="DZ177" s="97"/>
      <c r="EA177" s="97"/>
      <c r="EB177" s="97"/>
      <c r="EC177" s="97"/>
      <c r="ED177" s="97"/>
      <c r="EE177" s="97"/>
      <c r="EF177" s="97"/>
      <c r="EG177" s="97"/>
      <c r="EH177" s="97"/>
      <c r="EI177" s="97"/>
      <c r="EJ177" s="97"/>
      <c r="EK177" s="97"/>
      <c r="EL177" s="97"/>
      <c r="EM177" s="97"/>
      <c r="EN177" s="97"/>
      <c r="EO177" s="97"/>
      <c r="EP177" s="97"/>
      <c r="EQ177" s="97"/>
      <c r="ER177" s="97"/>
      <c r="ES177" s="97"/>
      <c r="ET177" s="97"/>
      <c r="EU177" s="97"/>
      <c r="EV177" s="97"/>
      <c r="EW177" s="97"/>
      <c r="EX177" s="97"/>
      <c r="EY177" s="97"/>
      <c r="EZ177" s="97"/>
      <c r="FA177" s="97"/>
      <c r="FB177" s="97"/>
      <c r="FC177" s="97"/>
      <c r="FD177" s="97"/>
      <c r="FE177" s="97"/>
      <c r="FF177" s="97"/>
      <c r="FG177" s="97"/>
      <c r="FH177" s="97"/>
      <c r="FI177" s="97"/>
      <c r="FJ177" s="97"/>
      <c r="FK177" s="97"/>
      <c r="FL177" s="97"/>
      <c r="FM177" s="97"/>
      <c r="FN177" s="97"/>
      <c r="FO177" s="97"/>
      <c r="FP177" s="97"/>
      <c r="FQ177" s="97"/>
      <c r="FR177" s="97"/>
      <c r="FS177" s="97"/>
      <c r="FT177" s="97"/>
      <c r="FU177" s="97"/>
    </row>
    <row r="178" spans="1:177" s="1" customFormat="1" ht="16.5" hidden="1" thickBot="1">
      <c r="A178" s="21"/>
      <c r="B178" s="24" t="s">
        <v>25</v>
      </c>
      <c r="C178" s="26">
        <f>C142+C148</f>
        <v>826587.35</v>
      </c>
      <c r="D178" s="26">
        <f>D142+D148</f>
        <v>612945.9800000001</v>
      </c>
      <c r="E178" s="26">
        <f>E142+E148</f>
        <v>629503.55</v>
      </c>
      <c r="F178" s="26">
        <f>F142+F148</f>
        <v>1601306.47</v>
      </c>
      <c r="G178" s="26">
        <f>G142+G148</f>
        <v>3529332.292489557</v>
      </c>
      <c r="H178" s="26"/>
      <c r="I178" s="26">
        <f>I142+I148</f>
        <v>10869611.084767468</v>
      </c>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c r="DW178" s="97"/>
      <c r="DX178" s="97"/>
      <c r="DY178" s="97"/>
      <c r="DZ178" s="97"/>
      <c r="EA178" s="97"/>
      <c r="EB178" s="97"/>
      <c r="EC178" s="97"/>
      <c r="ED178" s="97"/>
      <c r="EE178" s="97"/>
      <c r="EF178" s="97"/>
      <c r="EG178" s="97"/>
      <c r="EH178" s="97"/>
      <c r="EI178" s="97"/>
      <c r="EJ178" s="97"/>
      <c r="EK178" s="97"/>
      <c r="EL178" s="97"/>
      <c r="EM178" s="97"/>
      <c r="EN178" s="97"/>
      <c r="EO178" s="97"/>
      <c r="EP178" s="97"/>
      <c r="EQ178" s="97"/>
      <c r="ER178" s="97"/>
      <c r="ES178" s="97"/>
      <c r="ET178" s="97"/>
      <c r="EU178" s="97"/>
      <c r="EV178" s="97"/>
      <c r="EW178" s="97"/>
      <c r="EX178" s="97"/>
      <c r="EY178" s="97"/>
      <c r="EZ178" s="97"/>
      <c r="FA178" s="97"/>
      <c r="FB178" s="97"/>
      <c r="FC178" s="97"/>
      <c r="FD178" s="97"/>
      <c r="FE178" s="97"/>
      <c r="FF178" s="97"/>
      <c r="FG178" s="97"/>
      <c r="FH178" s="97"/>
      <c r="FI178" s="97"/>
      <c r="FJ178" s="97"/>
      <c r="FK178" s="97"/>
      <c r="FL178" s="97"/>
      <c r="FM178" s="97"/>
      <c r="FN178" s="97"/>
      <c r="FO178" s="97"/>
      <c r="FP178" s="97"/>
      <c r="FQ178" s="97"/>
      <c r="FR178" s="97"/>
      <c r="FS178" s="97"/>
      <c r="FT178" s="97"/>
      <c r="FU178" s="97"/>
    </row>
    <row r="179" spans="1:177" s="1" customFormat="1" ht="16.5" hidden="1" thickBot="1">
      <c r="A179" s="21"/>
      <c r="B179" s="24" t="s">
        <v>26</v>
      </c>
      <c r="C179" s="26" t="e">
        <f>#REF!</f>
        <v>#REF!</v>
      </c>
      <c r="D179" s="26" t="e">
        <f>#REF!</f>
        <v>#REF!</v>
      </c>
      <c r="E179" s="26" t="e">
        <f>#REF!</f>
        <v>#REF!</v>
      </c>
      <c r="F179" s="26" t="e">
        <f>#REF!</f>
        <v>#REF!</v>
      </c>
      <c r="G179" s="26" t="e">
        <f>#REF!</f>
        <v>#REF!</v>
      </c>
      <c r="H179" s="26"/>
      <c r="I179" s="26" t="e">
        <f>#REF!</f>
        <v>#REF!</v>
      </c>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c r="EC179" s="97"/>
      <c r="ED179" s="97"/>
      <c r="EE179" s="97"/>
      <c r="EF179" s="97"/>
      <c r="EG179" s="97"/>
      <c r="EH179" s="97"/>
      <c r="EI179" s="97"/>
      <c r="EJ179" s="97"/>
      <c r="EK179" s="97"/>
      <c r="EL179" s="97"/>
      <c r="EM179" s="97"/>
      <c r="EN179" s="97"/>
      <c r="EO179" s="97"/>
      <c r="EP179" s="97"/>
      <c r="EQ179" s="97"/>
      <c r="ER179" s="97"/>
      <c r="ES179" s="97"/>
      <c r="ET179" s="97"/>
      <c r="EU179" s="97"/>
      <c r="EV179" s="97"/>
      <c r="EW179" s="97"/>
      <c r="EX179" s="97"/>
      <c r="EY179" s="97"/>
      <c r="EZ179" s="97"/>
      <c r="FA179" s="97"/>
      <c r="FB179" s="97"/>
      <c r="FC179" s="97"/>
      <c r="FD179" s="97"/>
      <c r="FE179" s="97"/>
      <c r="FF179" s="97"/>
      <c r="FG179" s="97"/>
      <c r="FH179" s="97"/>
      <c r="FI179" s="97"/>
      <c r="FJ179" s="97"/>
      <c r="FK179" s="97"/>
      <c r="FL179" s="97"/>
      <c r="FM179" s="97"/>
      <c r="FN179" s="97"/>
      <c r="FO179" s="97"/>
      <c r="FP179" s="97"/>
      <c r="FQ179" s="97"/>
      <c r="FR179" s="97"/>
      <c r="FS179" s="97"/>
      <c r="FT179" s="97"/>
      <c r="FU179" s="97"/>
    </row>
    <row r="180" spans="1:177" s="1" customFormat="1" ht="16.5" hidden="1" thickBot="1">
      <c r="A180" s="21"/>
      <c r="B180" s="24" t="s">
        <v>27</v>
      </c>
      <c r="C180" s="26" t="e">
        <f>C135+#REF!+#REF!+#REF!+#REF!+#REF!+#REF!</f>
        <v>#REF!</v>
      </c>
      <c r="D180" s="26" t="e">
        <f>D135+#REF!+#REF!+#REF!+#REF!+#REF!+#REF!</f>
        <v>#REF!</v>
      </c>
      <c r="E180" s="26" t="e">
        <f>E135+#REF!+#REF!+#REF!+#REF!+#REF!+#REF!</f>
        <v>#REF!</v>
      </c>
      <c r="F180" s="26" t="e">
        <f>F135+#REF!+#REF!+#REF!+#REF!+#REF!+#REF!</f>
        <v>#REF!</v>
      </c>
      <c r="G180" s="26" t="e">
        <f>G135+#REF!+#REF!+#REF!+#REF!+#REF!+#REF!</f>
        <v>#REF!</v>
      </c>
      <c r="H180" s="26"/>
      <c r="I180" s="26" t="e">
        <f>I135+#REF!+#REF!+#REF!+#REF!+#REF!+#REF!</f>
        <v>#REF!</v>
      </c>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c r="EC180" s="97"/>
      <c r="ED180" s="97"/>
      <c r="EE180" s="97"/>
      <c r="EF180" s="97"/>
      <c r="EG180" s="97"/>
      <c r="EH180" s="97"/>
      <c r="EI180" s="97"/>
      <c r="EJ180" s="97"/>
      <c r="EK180" s="97"/>
      <c r="EL180" s="97"/>
      <c r="EM180" s="97"/>
      <c r="EN180" s="97"/>
      <c r="EO180" s="97"/>
      <c r="EP180" s="97"/>
      <c r="EQ180" s="97"/>
      <c r="ER180" s="97"/>
      <c r="ES180" s="97"/>
      <c r="ET180" s="97"/>
      <c r="EU180" s="97"/>
      <c r="EV180" s="97"/>
      <c r="EW180" s="97"/>
      <c r="EX180" s="97"/>
      <c r="EY180" s="97"/>
      <c r="EZ180" s="97"/>
      <c r="FA180" s="97"/>
      <c r="FB180" s="97"/>
      <c r="FC180" s="97"/>
      <c r="FD180" s="97"/>
      <c r="FE180" s="97"/>
      <c r="FF180" s="97"/>
      <c r="FG180" s="97"/>
      <c r="FH180" s="97"/>
      <c r="FI180" s="97"/>
      <c r="FJ180" s="97"/>
      <c r="FK180" s="97"/>
      <c r="FL180" s="97"/>
      <c r="FM180" s="97"/>
      <c r="FN180" s="97"/>
      <c r="FO180" s="97"/>
      <c r="FP180" s="97"/>
      <c r="FQ180" s="97"/>
      <c r="FR180" s="97"/>
      <c r="FS180" s="97"/>
      <c r="FT180" s="97"/>
      <c r="FU180" s="97"/>
    </row>
    <row r="181" spans="1:177" s="1" customFormat="1" ht="16.5" hidden="1" thickBot="1">
      <c r="A181" s="21"/>
      <c r="B181" s="24" t="s">
        <v>33</v>
      </c>
      <c r="C181" s="26" t="e">
        <f>#REF!</f>
        <v>#REF!</v>
      </c>
      <c r="D181" s="26" t="e">
        <f>#REF!</f>
        <v>#REF!</v>
      </c>
      <c r="E181" s="26" t="e">
        <f>#REF!</f>
        <v>#REF!</v>
      </c>
      <c r="F181" s="26" t="e">
        <f>#REF!</f>
        <v>#REF!</v>
      </c>
      <c r="G181" s="26" t="e">
        <f>#REF!</f>
        <v>#REF!</v>
      </c>
      <c r="H181" s="26"/>
      <c r="I181" s="26" t="e">
        <f>#REF!</f>
        <v>#REF!</v>
      </c>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c r="DW181" s="97"/>
      <c r="DX181" s="97"/>
      <c r="DY181" s="97"/>
      <c r="DZ181" s="97"/>
      <c r="EA181" s="97"/>
      <c r="EB181" s="97"/>
      <c r="EC181" s="97"/>
      <c r="ED181" s="97"/>
      <c r="EE181" s="97"/>
      <c r="EF181" s="97"/>
      <c r="EG181" s="97"/>
      <c r="EH181" s="97"/>
      <c r="EI181" s="97"/>
      <c r="EJ181" s="97"/>
      <c r="EK181" s="97"/>
      <c r="EL181" s="97"/>
      <c r="EM181" s="97"/>
      <c r="EN181" s="97"/>
      <c r="EO181" s="97"/>
      <c r="EP181" s="97"/>
      <c r="EQ181" s="97"/>
      <c r="ER181" s="97"/>
      <c r="ES181" s="97"/>
      <c r="ET181" s="97"/>
      <c r="EU181" s="97"/>
      <c r="EV181" s="97"/>
      <c r="EW181" s="97"/>
      <c r="EX181" s="97"/>
      <c r="EY181" s="97"/>
      <c r="EZ181" s="97"/>
      <c r="FA181" s="97"/>
      <c r="FB181" s="97"/>
      <c r="FC181" s="97"/>
      <c r="FD181" s="97"/>
      <c r="FE181" s="97"/>
      <c r="FF181" s="97"/>
      <c r="FG181" s="97"/>
      <c r="FH181" s="97"/>
      <c r="FI181" s="97"/>
      <c r="FJ181" s="97"/>
      <c r="FK181" s="97"/>
      <c r="FL181" s="97"/>
      <c r="FM181" s="97"/>
      <c r="FN181" s="97"/>
      <c r="FO181" s="97"/>
      <c r="FP181" s="97"/>
      <c r="FQ181" s="97"/>
      <c r="FR181" s="97"/>
      <c r="FS181" s="97"/>
      <c r="FT181" s="97"/>
      <c r="FU181" s="97"/>
    </row>
    <row r="182" spans="1:177" s="1" customFormat="1" ht="16.5" hidden="1" thickBot="1">
      <c r="A182" s="21"/>
      <c r="B182" s="24" t="s">
        <v>28</v>
      </c>
      <c r="C182" s="26" t="e">
        <f>#REF!+#REF!</f>
        <v>#REF!</v>
      </c>
      <c r="D182" s="26" t="e">
        <f>#REF!+#REF!</f>
        <v>#REF!</v>
      </c>
      <c r="E182" s="26" t="e">
        <f>#REF!+#REF!</f>
        <v>#REF!</v>
      </c>
      <c r="F182" s="26" t="e">
        <f>#REF!+#REF!</f>
        <v>#REF!</v>
      </c>
      <c r="G182" s="26" t="e">
        <f>#REF!+#REF!</f>
        <v>#REF!</v>
      </c>
      <c r="H182" s="26"/>
      <c r="I182" s="26" t="e">
        <f>#REF!+#REF!</f>
        <v>#REF!</v>
      </c>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c r="DW182" s="97"/>
      <c r="DX182" s="97"/>
      <c r="DY182" s="97"/>
      <c r="DZ182" s="97"/>
      <c r="EA182" s="97"/>
      <c r="EB182" s="97"/>
      <c r="EC182" s="97"/>
      <c r="ED182" s="97"/>
      <c r="EE182" s="97"/>
      <c r="EF182" s="97"/>
      <c r="EG182" s="97"/>
      <c r="EH182" s="97"/>
      <c r="EI182" s="97"/>
      <c r="EJ182" s="97"/>
      <c r="EK182" s="97"/>
      <c r="EL182" s="97"/>
      <c r="EM182" s="97"/>
      <c r="EN182" s="97"/>
      <c r="EO182" s="97"/>
      <c r="EP182" s="97"/>
      <c r="EQ182" s="97"/>
      <c r="ER182" s="97"/>
      <c r="ES182" s="97"/>
      <c r="ET182" s="97"/>
      <c r="EU182" s="97"/>
      <c r="EV182" s="97"/>
      <c r="EW182" s="97"/>
      <c r="EX182" s="97"/>
      <c r="EY182" s="97"/>
      <c r="EZ182" s="97"/>
      <c r="FA182" s="97"/>
      <c r="FB182" s="97"/>
      <c r="FC182" s="97"/>
      <c r="FD182" s="97"/>
      <c r="FE182" s="97"/>
      <c r="FF182" s="97"/>
      <c r="FG182" s="97"/>
      <c r="FH182" s="97"/>
      <c r="FI182" s="97"/>
      <c r="FJ182" s="97"/>
      <c r="FK182" s="97"/>
      <c r="FL182" s="97"/>
      <c r="FM182" s="97"/>
      <c r="FN182" s="97"/>
      <c r="FO182" s="97"/>
      <c r="FP182" s="97"/>
      <c r="FQ182" s="97"/>
      <c r="FR182" s="97"/>
      <c r="FS182" s="97"/>
      <c r="FT182" s="97"/>
      <c r="FU182" s="97"/>
    </row>
    <row r="183" spans="1:177" s="1" customFormat="1" ht="16.5" hidden="1" thickBot="1">
      <c r="A183" s="21"/>
      <c r="B183" s="24" t="s">
        <v>29</v>
      </c>
      <c r="C183" s="26" t="e">
        <f>#REF!+#REF!</f>
        <v>#REF!</v>
      </c>
      <c r="D183" s="26" t="e">
        <f>#REF!+#REF!</f>
        <v>#REF!</v>
      </c>
      <c r="E183" s="26" t="e">
        <f>#REF!+#REF!</f>
        <v>#REF!</v>
      </c>
      <c r="F183" s="26" t="e">
        <f>#REF!+#REF!</f>
        <v>#REF!</v>
      </c>
      <c r="G183" s="26" t="e">
        <f>#REF!+#REF!</f>
        <v>#REF!</v>
      </c>
      <c r="H183" s="26"/>
      <c r="I183" s="26" t="e">
        <f>#REF!+#REF!</f>
        <v>#REF!</v>
      </c>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c r="DW183" s="97"/>
      <c r="DX183" s="97"/>
      <c r="DY183" s="97"/>
      <c r="DZ183" s="97"/>
      <c r="EA183" s="97"/>
      <c r="EB183" s="97"/>
      <c r="EC183" s="97"/>
      <c r="ED183" s="97"/>
      <c r="EE183" s="97"/>
      <c r="EF183" s="97"/>
      <c r="EG183" s="97"/>
      <c r="EH183" s="97"/>
      <c r="EI183" s="97"/>
      <c r="EJ183" s="97"/>
      <c r="EK183" s="97"/>
      <c r="EL183" s="97"/>
      <c r="EM183" s="97"/>
      <c r="EN183" s="97"/>
      <c r="EO183" s="97"/>
      <c r="EP183" s="97"/>
      <c r="EQ183" s="97"/>
      <c r="ER183" s="97"/>
      <c r="ES183" s="97"/>
      <c r="ET183" s="97"/>
      <c r="EU183" s="97"/>
      <c r="EV183" s="97"/>
      <c r="EW183" s="97"/>
      <c r="EX183" s="97"/>
      <c r="EY183" s="97"/>
      <c r="EZ183" s="97"/>
      <c r="FA183" s="97"/>
      <c r="FB183" s="97"/>
      <c r="FC183" s="97"/>
      <c r="FD183" s="97"/>
      <c r="FE183" s="97"/>
      <c r="FF183" s="97"/>
      <c r="FG183" s="97"/>
      <c r="FH183" s="97"/>
      <c r="FI183" s="97"/>
      <c r="FJ183" s="97"/>
      <c r="FK183" s="97"/>
      <c r="FL183" s="97"/>
      <c r="FM183" s="97"/>
      <c r="FN183" s="97"/>
      <c r="FO183" s="97"/>
      <c r="FP183" s="97"/>
      <c r="FQ183" s="97"/>
      <c r="FR183" s="97"/>
      <c r="FS183" s="97"/>
      <c r="FT183" s="97"/>
      <c r="FU183" s="97"/>
    </row>
    <row r="184" spans="1:177" s="1" customFormat="1" ht="16.5" hidden="1" thickBot="1">
      <c r="A184" s="21"/>
      <c r="B184" s="24" t="s">
        <v>30</v>
      </c>
      <c r="C184" s="26" t="e">
        <f>C182+C183</f>
        <v>#REF!</v>
      </c>
      <c r="D184" s="26" t="e">
        <f aca="true" t="shared" si="32" ref="D184:I184">D182+D183</f>
        <v>#REF!</v>
      </c>
      <c r="E184" s="26" t="e">
        <f t="shared" si="32"/>
        <v>#REF!</v>
      </c>
      <c r="F184" s="26" t="e">
        <f t="shared" si="32"/>
        <v>#REF!</v>
      </c>
      <c r="G184" s="26" t="e">
        <f t="shared" si="32"/>
        <v>#REF!</v>
      </c>
      <c r="H184" s="26"/>
      <c r="I184" s="26" t="e">
        <f t="shared" si="32"/>
        <v>#REF!</v>
      </c>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97"/>
      <c r="EO184" s="97"/>
      <c r="EP184" s="97"/>
      <c r="EQ184" s="97"/>
      <c r="ER184" s="97"/>
      <c r="ES184" s="97"/>
      <c r="ET184" s="97"/>
      <c r="EU184" s="97"/>
      <c r="EV184" s="97"/>
      <c r="EW184" s="97"/>
      <c r="EX184" s="97"/>
      <c r="EY184" s="97"/>
      <c r="EZ184" s="97"/>
      <c r="FA184" s="97"/>
      <c r="FB184" s="97"/>
      <c r="FC184" s="97"/>
      <c r="FD184" s="97"/>
      <c r="FE184" s="97"/>
      <c r="FF184" s="97"/>
      <c r="FG184" s="97"/>
      <c r="FH184" s="97"/>
      <c r="FI184" s="97"/>
      <c r="FJ184" s="97"/>
      <c r="FK184" s="97"/>
      <c r="FL184" s="97"/>
      <c r="FM184" s="97"/>
      <c r="FN184" s="97"/>
      <c r="FO184" s="97"/>
      <c r="FP184" s="97"/>
      <c r="FQ184" s="97"/>
      <c r="FR184" s="97"/>
      <c r="FS184" s="97"/>
      <c r="FT184" s="97"/>
      <c r="FU184" s="97"/>
    </row>
    <row r="185" spans="1:177" s="1" customFormat="1" ht="16.5" hidden="1" thickBot="1">
      <c r="A185" s="21"/>
      <c r="B185" s="24" t="s">
        <v>31</v>
      </c>
      <c r="C185" s="26" t="e">
        <f>((C8+#REF!)-(C169)-((#REF!+#REF!)-C184))</f>
        <v>#REF!</v>
      </c>
      <c r="D185" s="26" t="e">
        <f>((D8+#REF!)-(D169)-((#REF!+#REF!)-D184))</f>
        <v>#REF!</v>
      </c>
      <c r="E185" s="26" t="e">
        <f>((E8+#REF!)-(E169)-((#REF!+#REF!)-E184))</f>
        <v>#REF!</v>
      </c>
      <c r="F185" s="26" t="e">
        <f>((F8+#REF!)-(F169)-((#REF!+#REF!)-F184))</f>
        <v>#REF!</v>
      </c>
      <c r="G185" s="26" t="e">
        <f>((G8+#REF!)-(G169)-((#REF!+#REF!)-G184))</f>
        <v>#REF!</v>
      </c>
      <c r="H185" s="26"/>
      <c r="I185" s="26" t="e">
        <f>((I8+#REF!)-(I169)-((#REF!+#REF!)-I184))</f>
        <v>#REF!</v>
      </c>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c r="DW185" s="97"/>
      <c r="DX185" s="97"/>
      <c r="DY185" s="97"/>
      <c r="DZ185" s="97"/>
      <c r="EA185" s="97"/>
      <c r="EB185" s="97"/>
      <c r="EC185" s="97"/>
      <c r="ED185" s="97"/>
      <c r="EE185" s="97"/>
      <c r="EF185" s="97"/>
      <c r="EG185" s="97"/>
      <c r="EH185" s="97"/>
      <c r="EI185" s="97"/>
      <c r="EJ185" s="97"/>
      <c r="EK185" s="97"/>
      <c r="EL185" s="97"/>
      <c r="EM185" s="97"/>
      <c r="EN185" s="97"/>
      <c r="EO185" s="97"/>
      <c r="EP185" s="97"/>
      <c r="EQ185" s="97"/>
      <c r="ER185" s="97"/>
      <c r="ES185" s="97"/>
      <c r="ET185" s="97"/>
      <c r="EU185" s="97"/>
      <c r="EV185" s="97"/>
      <c r="EW185" s="97"/>
      <c r="EX185" s="97"/>
      <c r="EY185" s="97"/>
      <c r="EZ185" s="97"/>
      <c r="FA185" s="97"/>
      <c r="FB185" s="97"/>
      <c r="FC185" s="97"/>
      <c r="FD185" s="97"/>
      <c r="FE185" s="97"/>
      <c r="FF185" s="97"/>
      <c r="FG185" s="97"/>
      <c r="FH185" s="97"/>
      <c r="FI185" s="97"/>
      <c r="FJ185" s="97"/>
      <c r="FK185" s="97"/>
      <c r="FL185" s="97"/>
      <c r="FM185" s="97"/>
      <c r="FN185" s="97"/>
      <c r="FO185" s="97"/>
      <c r="FP185" s="97"/>
      <c r="FQ185" s="97"/>
      <c r="FR185" s="97"/>
      <c r="FS185" s="97"/>
      <c r="FT185" s="97"/>
      <c r="FU185" s="97"/>
    </row>
    <row r="186" spans="1:177" s="1" customFormat="1" ht="16.5" hidden="1" thickBot="1">
      <c r="A186" s="21"/>
      <c r="B186" s="27" t="s">
        <v>32</v>
      </c>
      <c r="C186" s="28" t="e">
        <f>-(C185-(C182-C19-C20-C21-#REF!))</f>
        <v>#REF!</v>
      </c>
      <c r="D186" s="28" t="e">
        <f>-(D185-(D182-D19-D20-D21-#REF!))</f>
        <v>#REF!</v>
      </c>
      <c r="E186" s="28" t="e">
        <f>-(E185-(E182-E19-E20-E21-#REF!))</f>
        <v>#REF!</v>
      </c>
      <c r="F186" s="28" t="e">
        <f>-(F185-(F182-F19-F20-F21-#REF!))</f>
        <v>#REF!</v>
      </c>
      <c r="G186" s="28" t="e">
        <f>-(G185-(G182-G19-G20-G21-#REF!))</f>
        <v>#REF!</v>
      </c>
      <c r="H186" s="28"/>
      <c r="I186" s="28" t="e">
        <f>-(I185-(I182-I19-I20-I21-#REF!))</f>
        <v>#REF!</v>
      </c>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c r="DW186" s="97"/>
      <c r="DX186" s="97"/>
      <c r="DY186" s="97"/>
      <c r="DZ186" s="97"/>
      <c r="EA186" s="97"/>
      <c r="EB186" s="97"/>
      <c r="EC186" s="97"/>
      <c r="ED186" s="97"/>
      <c r="EE186" s="97"/>
      <c r="EF186" s="97"/>
      <c r="EG186" s="97"/>
      <c r="EH186" s="97"/>
      <c r="EI186" s="97"/>
      <c r="EJ186" s="97"/>
      <c r="EK186" s="97"/>
      <c r="EL186" s="97"/>
      <c r="EM186" s="97"/>
      <c r="EN186" s="97"/>
      <c r="EO186" s="97"/>
      <c r="EP186" s="97"/>
      <c r="EQ186" s="97"/>
      <c r="ER186" s="97"/>
      <c r="ES186" s="97"/>
      <c r="ET186" s="97"/>
      <c r="EU186" s="97"/>
      <c r="EV186" s="97"/>
      <c r="EW186" s="97"/>
      <c r="EX186" s="97"/>
      <c r="EY186" s="97"/>
      <c r="EZ186" s="97"/>
      <c r="FA186" s="97"/>
      <c r="FB186" s="97"/>
      <c r="FC186" s="97"/>
      <c r="FD186" s="97"/>
      <c r="FE186" s="97"/>
      <c r="FF186" s="97"/>
      <c r="FG186" s="97"/>
      <c r="FH186" s="97"/>
      <c r="FI186" s="97"/>
      <c r="FJ186" s="97"/>
      <c r="FK186" s="97"/>
      <c r="FL186" s="97"/>
      <c r="FM186" s="97"/>
      <c r="FN186" s="97"/>
      <c r="FO186" s="97"/>
      <c r="FP186" s="97"/>
      <c r="FQ186" s="97"/>
      <c r="FR186" s="97"/>
      <c r="FS186" s="97"/>
      <c r="FT186" s="97"/>
      <c r="FU186" s="97"/>
    </row>
    <row r="187" spans="1:177" s="1" customFormat="1" ht="16.5" thickTop="1">
      <c r="A187" s="21"/>
      <c r="B187" s="29"/>
      <c r="C187" s="29"/>
      <c r="D187" s="29"/>
      <c r="E187" s="29"/>
      <c r="F187" s="29"/>
      <c r="G187" s="29"/>
      <c r="H187" s="29"/>
      <c r="I187" s="29"/>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c r="DW187" s="97"/>
      <c r="DX187" s="97"/>
      <c r="DY187" s="97"/>
      <c r="DZ187" s="97"/>
      <c r="EA187" s="97"/>
      <c r="EB187" s="97"/>
      <c r="EC187" s="97"/>
      <c r="ED187" s="97"/>
      <c r="EE187" s="97"/>
      <c r="EF187" s="97"/>
      <c r="EG187" s="97"/>
      <c r="EH187" s="97"/>
      <c r="EI187" s="97"/>
      <c r="EJ187" s="97"/>
      <c r="EK187" s="97"/>
      <c r="EL187" s="97"/>
      <c r="EM187" s="97"/>
      <c r="EN187" s="97"/>
      <c r="EO187" s="97"/>
      <c r="EP187" s="97"/>
      <c r="EQ187" s="97"/>
      <c r="ER187" s="97"/>
      <c r="ES187" s="97"/>
      <c r="ET187" s="97"/>
      <c r="EU187" s="97"/>
      <c r="EV187" s="97"/>
      <c r="EW187" s="97"/>
      <c r="EX187" s="97"/>
      <c r="EY187" s="97"/>
      <c r="EZ187" s="97"/>
      <c r="FA187" s="97"/>
      <c r="FB187" s="97"/>
      <c r="FC187" s="97"/>
      <c r="FD187" s="97"/>
      <c r="FE187" s="97"/>
      <c r="FF187" s="97"/>
      <c r="FG187" s="97"/>
      <c r="FH187" s="97"/>
      <c r="FI187" s="97"/>
      <c r="FJ187" s="97"/>
      <c r="FK187" s="97"/>
      <c r="FL187" s="97"/>
      <c r="FM187" s="97"/>
      <c r="FN187" s="97"/>
      <c r="FO187" s="97"/>
      <c r="FP187" s="97"/>
      <c r="FQ187" s="97"/>
      <c r="FR187" s="97"/>
      <c r="FS187" s="97"/>
      <c r="FT187" s="97"/>
      <c r="FU187" s="97"/>
    </row>
    <row r="188" spans="2:177" s="1" customFormat="1" ht="15.75">
      <c r="B188" s="5"/>
      <c r="C188" s="5"/>
      <c r="D188" s="5"/>
      <c r="E188" s="5"/>
      <c r="F188" s="5"/>
      <c r="G188" s="5"/>
      <c r="H188" s="5"/>
      <c r="I188" s="5"/>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c r="EC188" s="97"/>
      <c r="ED188" s="97"/>
      <c r="EE188" s="97"/>
      <c r="EF188" s="97"/>
      <c r="EG188" s="97"/>
      <c r="EH188" s="97"/>
      <c r="EI188" s="97"/>
      <c r="EJ188" s="97"/>
      <c r="EK188" s="97"/>
      <c r="EL188" s="97"/>
      <c r="EM188" s="97"/>
      <c r="EN188" s="97"/>
      <c r="EO188" s="97"/>
      <c r="EP188" s="97"/>
      <c r="EQ188" s="97"/>
      <c r="ER188" s="97"/>
      <c r="ES188" s="97"/>
      <c r="ET188" s="97"/>
      <c r="EU188" s="97"/>
      <c r="EV188" s="97"/>
      <c r="EW188" s="97"/>
      <c r="EX188" s="97"/>
      <c r="EY188" s="97"/>
      <c r="EZ188" s="97"/>
      <c r="FA188" s="97"/>
      <c r="FB188" s="97"/>
      <c r="FC188" s="97"/>
      <c r="FD188" s="97"/>
      <c r="FE188" s="97"/>
      <c r="FF188" s="97"/>
      <c r="FG188" s="97"/>
      <c r="FH188" s="97"/>
      <c r="FI188" s="97"/>
      <c r="FJ188" s="97"/>
      <c r="FK188" s="97"/>
      <c r="FL188" s="97"/>
      <c r="FM188" s="97"/>
      <c r="FN188" s="97"/>
      <c r="FO188" s="97"/>
      <c r="FP188" s="97"/>
      <c r="FQ188" s="97"/>
      <c r="FR188" s="97"/>
      <c r="FS188" s="97"/>
      <c r="FT188" s="97"/>
      <c r="FU188" s="97"/>
    </row>
    <row r="189" spans="2:177" s="1" customFormat="1" ht="15.75">
      <c r="B189" s="5"/>
      <c r="C189" s="5"/>
      <c r="D189" s="5"/>
      <c r="E189" s="5"/>
      <c r="F189" s="5"/>
      <c r="G189" s="5"/>
      <c r="H189" s="5"/>
      <c r="I189" s="5"/>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c r="EC189" s="97"/>
      <c r="ED189" s="97"/>
      <c r="EE189" s="97"/>
      <c r="EF189" s="97"/>
      <c r="EG189" s="97"/>
      <c r="EH189" s="97"/>
      <c r="EI189" s="97"/>
      <c r="EJ189" s="97"/>
      <c r="EK189" s="97"/>
      <c r="EL189" s="97"/>
      <c r="EM189" s="97"/>
      <c r="EN189" s="97"/>
      <c r="EO189" s="97"/>
      <c r="EP189" s="97"/>
      <c r="EQ189" s="97"/>
      <c r="ER189" s="97"/>
      <c r="ES189" s="97"/>
      <c r="ET189" s="97"/>
      <c r="EU189" s="97"/>
      <c r="EV189" s="97"/>
      <c r="EW189" s="97"/>
      <c r="EX189" s="97"/>
      <c r="EY189" s="97"/>
      <c r="EZ189" s="97"/>
      <c r="FA189" s="97"/>
      <c r="FB189" s="97"/>
      <c r="FC189" s="97"/>
      <c r="FD189" s="97"/>
      <c r="FE189" s="97"/>
      <c r="FF189" s="97"/>
      <c r="FG189" s="97"/>
      <c r="FH189" s="97"/>
      <c r="FI189" s="97"/>
      <c r="FJ189" s="97"/>
      <c r="FK189" s="97"/>
      <c r="FL189" s="97"/>
      <c r="FM189" s="97"/>
      <c r="FN189" s="97"/>
      <c r="FO189" s="97"/>
      <c r="FP189" s="97"/>
      <c r="FQ189" s="97"/>
      <c r="FR189" s="97"/>
      <c r="FS189" s="97"/>
      <c r="FT189" s="97"/>
      <c r="FU189" s="97"/>
    </row>
    <row r="190" spans="2:177" s="1" customFormat="1" ht="15.75">
      <c r="B190" s="5"/>
      <c r="C190" s="5"/>
      <c r="D190" s="5"/>
      <c r="E190" s="5"/>
      <c r="F190" s="5"/>
      <c r="G190" s="5"/>
      <c r="H190" s="5"/>
      <c r="I190" s="5"/>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c r="DW190" s="97"/>
      <c r="DX190" s="97"/>
      <c r="DY190" s="97"/>
      <c r="DZ190" s="97"/>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c r="EX190" s="97"/>
      <c r="EY190" s="97"/>
      <c r="EZ190" s="97"/>
      <c r="FA190" s="97"/>
      <c r="FB190" s="97"/>
      <c r="FC190" s="97"/>
      <c r="FD190" s="97"/>
      <c r="FE190" s="97"/>
      <c r="FF190" s="97"/>
      <c r="FG190" s="97"/>
      <c r="FH190" s="97"/>
      <c r="FI190" s="97"/>
      <c r="FJ190" s="97"/>
      <c r="FK190" s="97"/>
      <c r="FL190" s="97"/>
      <c r="FM190" s="97"/>
      <c r="FN190" s="97"/>
      <c r="FO190" s="97"/>
      <c r="FP190" s="97"/>
      <c r="FQ190" s="97"/>
      <c r="FR190" s="97"/>
      <c r="FS190" s="97"/>
      <c r="FT190" s="97"/>
      <c r="FU190" s="97"/>
    </row>
    <row r="191" spans="2:177" s="1" customFormat="1" ht="15.75">
      <c r="B191" s="5"/>
      <c r="C191" s="5"/>
      <c r="D191" s="5"/>
      <c r="E191" s="5"/>
      <c r="F191" s="5"/>
      <c r="G191" s="5"/>
      <c r="H191" s="5"/>
      <c r="I191" s="5"/>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97"/>
      <c r="EB191" s="97"/>
      <c r="EC191" s="97"/>
      <c r="ED191" s="97"/>
      <c r="EE191" s="97"/>
      <c r="EF191" s="97"/>
      <c r="EG191" s="97"/>
      <c r="EH191" s="97"/>
      <c r="EI191" s="97"/>
      <c r="EJ191" s="97"/>
      <c r="EK191" s="97"/>
      <c r="EL191" s="97"/>
      <c r="EM191" s="97"/>
      <c r="EN191" s="97"/>
      <c r="EO191" s="97"/>
      <c r="EP191" s="97"/>
      <c r="EQ191" s="97"/>
      <c r="ER191" s="97"/>
      <c r="ES191" s="97"/>
      <c r="ET191" s="97"/>
      <c r="EU191" s="97"/>
      <c r="EV191" s="97"/>
      <c r="EW191" s="97"/>
      <c r="EX191" s="97"/>
      <c r="EY191" s="97"/>
      <c r="EZ191" s="97"/>
      <c r="FA191" s="97"/>
      <c r="FB191" s="97"/>
      <c r="FC191" s="97"/>
      <c r="FD191" s="97"/>
      <c r="FE191" s="97"/>
      <c r="FF191" s="97"/>
      <c r="FG191" s="97"/>
      <c r="FH191" s="97"/>
      <c r="FI191" s="97"/>
      <c r="FJ191" s="97"/>
      <c r="FK191" s="97"/>
      <c r="FL191" s="97"/>
      <c r="FM191" s="97"/>
      <c r="FN191" s="97"/>
      <c r="FO191" s="97"/>
      <c r="FP191" s="97"/>
      <c r="FQ191" s="97"/>
      <c r="FR191" s="97"/>
      <c r="FS191" s="97"/>
      <c r="FT191" s="97"/>
      <c r="FU191" s="97"/>
    </row>
    <row r="192" spans="2:177" s="1" customFormat="1" ht="15.75">
      <c r="B192" s="2"/>
      <c r="C192" s="5"/>
      <c r="D192" s="5"/>
      <c r="E192" s="5"/>
      <c r="F192" s="5"/>
      <c r="G192" s="5"/>
      <c r="H192" s="5"/>
      <c r="I192" s="5"/>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97"/>
      <c r="EB192" s="97"/>
      <c r="EC192" s="97"/>
      <c r="ED192" s="97"/>
      <c r="EE192" s="97"/>
      <c r="EF192" s="97"/>
      <c r="EG192" s="97"/>
      <c r="EH192" s="97"/>
      <c r="EI192" s="97"/>
      <c r="EJ192" s="97"/>
      <c r="EK192" s="97"/>
      <c r="EL192" s="97"/>
      <c r="EM192" s="97"/>
      <c r="EN192" s="97"/>
      <c r="EO192" s="97"/>
      <c r="EP192" s="97"/>
      <c r="EQ192" s="97"/>
      <c r="ER192" s="97"/>
      <c r="ES192" s="97"/>
      <c r="ET192" s="97"/>
      <c r="EU192" s="97"/>
      <c r="EV192" s="97"/>
      <c r="EW192" s="97"/>
      <c r="EX192" s="97"/>
      <c r="EY192" s="97"/>
      <c r="EZ192" s="97"/>
      <c r="FA192" s="97"/>
      <c r="FB192" s="97"/>
      <c r="FC192" s="97"/>
      <c r="FD192" s="97"/>
      <c r="FE192" s="97"/>
      <c r="FF192" s="97"/>
      <c r="FG192" s="97"/>
      <c r="FH192" s="97"/>
      <c r="FI192" s="97"/>
      <c r="FJ192" s="97"/>
      <c r="FK192" s="97"/>
      <c r="FL192" s="97"/>
      <c r="FM192" s="97"/>
      <c r="FN192" s="97"/>
      <c r="FO192" s="97"/>
      <c r="FP192" s="97"/>
      <c r="FQ192" s="97"/>
      <c r="FR192" s="97"/>
      <c r="FS192" s="97"/>
      <c r="FT192" s="97"/>
      <c r="FU192" s="97"/>
    </row>
    <row r="193" spans="2:177" s="1" customFormat="1" ht="15.75">
      <c r="B193" s="5"/>
      <c r="C193" s="5"/>
      <c r="D193" s="5"/>
      <c r="E193" s="5"/>
      <c r="F193" s="5"/>
      <c r="G193" s="5"/>
      <c r="H193" s="5"/>
      <c r="I193" s="5"/>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c r="DW193" s="97"/>
      <c r="DX193" s="97"/>
      <c r="DY193" s="97"/>
      <c r="DZ193" s="97"/>
      <c r="EA193" s="97"/>
      <c r="EB193" s="97"/>
      <c r="EC193" s="97"/>
      <c r="ED193" s="97"/>
      <c r="EE193" s="97"/>
      <c r="EF193" s="97"/>
      <c r="EG193" s="97"/>
      <c r="EH193" s="97"/>
      <c r="EI193" s="97"/>
      <c r="EJ193" s="97"/>
      <c r="EK193" s="97"/>
      <c r="EL193" s="97"/>
      <c r="EM193" s="97"/>
      <c r="EN193" s="97"/>
      <c r="EO193" s="97"/>
      <c r="EP193" s="97"/>
      <c r="EQ193" s="97"/>
      <c r="ER193" s="97"/>
      <c r="ES193" s="97"/>
      <c r="ET193" s="97"/>
      <c r="EU193" s="97"/>
      <c r="EV193" s="97"/>
      <c r="EW193" s="97"/>
      <c r="EX193" s="97"/>
      <c r="EY193" s="97"/>
      <c r="EZ193" s="97"/>
      <c r="FA193" s="97"/>
      <c r="FB193" s="97"/>
      <c r="FC193" s="97"/>
      <c r="FD193" s="97"/>
      <c r="FE193" s="97"/>
      <c r="FF193" s="97"/>
      <c r="FG193" s="97"/>
      <c r="FH193" s="97"/>
      <c r="FI193" s="97"/>
      <c r="FJ193" s="97"/>
      <c r="FK193" s="97"/>
      <c r="FL193" s="97"/>
      <c r="FM193" s="97"/>
      <c r="FN193" s="97"/>
      <c r="FO193" s="97"/>
      <c r="FP193" s="97"/>
      <c r="FQ193" s="97"/>
      <c r="FR193" s="97"/>
      <c r="FS193" s="97"/>
      <c r="FT193" s="97"/>
      <c r="FU193" s="97"/>
    </row>
    <row r="194" spans="2:177" s="1" customFormat="1" ht="15.75">
      <c r="B194" s="5"/>
      <c r="C194" s="5"/>
      <c r="D194" s="5"/>
      <c r="E194" s="5"/>
      <c r="F194" s="5"/>
      <c r="G194" s="5"/>
      <c r="H194" s="5"/>
      <c r="I194" s="5"/>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c r="DQ194" s="97"/>
      <c r="DR194" s="97"/>
      <c r="DS194" s="97"/>
      <c r="DT194" s="97"/>
      <c r="DU194" s="97"/>
      <c r="DV194" s="97"/>
      <c r="DW194" s="97"/>
      <c r="DX194" s="97"/>
      <c r="DY194" s="97"/>
      <c r="DZ194" s="97"/>
      <c r="EA194" s="97"/>
      <c r="EB194" s="97"/>
      <c r="EC194" s="97"/>
      <c r="ED194" s="97"/>
      <c r="EE194" s="97"/>
      <c r="EF194" s="97"/>
      <c r="EG194" s="97"/>
      <c r="EH194" s="97"/>
      <c r="EI194" s="97"/>
      <c r="EJ194" s="97"/>
      <c r="EK194" s="97"/>
      <c r="EL194" s="97"/>
      <c r="EM194" s="97"/>
      <c r="EN194" s="97"/>
      <c r="EO194" s="97"/>
      <c r="EP194" s="97"/>
      <c r="EQ194" s="97"/>
      <c r="ER194" s="97"/>
      <c r="ES194" s="97"/>
      <c r="ET194" s="97"/>
      <c r="EU194" s="97"/>
      <c r="EV194" s="97"/>
      <c r="EW194" s="97"/>
      <c r="EX194" s="97"/>
      <c r="EY194" s="97"/>
      <c r="EZ194" s="97"/>
      <c r="FA194" s="97"/>
      <c r="FB194" s="97"/>
      <c r="FC194" s="97"/>
      <c r="FD194" s="97"/>
      <c r="FE194" s="97"/>
      <c r="FF194" s="97"/>
      <c r="FG194" s="97"/>
      <c r="FH194" s="97"/>
      <c r="FI194" s="97"/>
      <c r="FJ194" s="97"/>
      <c r="FK194" s="97"/>
      <c r="FL194" s="97"/>
      <c r="FM194" s="97"/>
      <c r="FN194" s="97"/>
      <c r="FO194" s="97"/>
      <c r="FP194" s="97"/>
      <c r="FQ194" s="97"/>
      <c r="FR194" s="97"/>
      <c r="FS194" s="97"/>
      <c r="FT194" s="97"/>
      <c r="FU194" s="97"/>
    </row>
    <row r="195" spans="2:177" s="1" customFormat="1" ht="15.75">
      <c r="B195" s="5"/>
      <c r="C195" s="5"/>
      <c r="D195" s="5"/>
      <c r="E195" s="5"/>
      <c r="F195" s="5"/>
      <c r="G195" s="5"/>
      <c r="H195" s="5"/>
      <c r="I195" s="5"/>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c r="DW195" s="97"/>
      <c r="DX195" s="97"/>
      <c r="DY195" s="97"/>
      <c r="DZ195" s="97"/>
      <c r="EA195" s="97"/>
      <c r="EB195" s="97"/>
      <c r="EC195" s="97"/>
      <c r="ED195" s="97"/>
      <c r="EE195" s="97"/>
      <c r="EF195" s="97"/>
      <c r="EG195" s="97"/>
      <c r="EH195" s="97"/>
      <c r="EI195" s="97"/>
      <c r="EJ195" s="97"/>
      <c r="EK195" s="97"/>
      <c r="EL195" s="97"/>
      <c r="EM195" s="97"/>
      <c r="EN195" s="97"/>
      <c r="EO195" s="97"/>
      <c r="EP195" s="97"/>
      <c r="EQ195" s="97"/>
      <c r="ER195" s="97"/>
      <c r="ES195" s="97"/>
      <c r="ET195" s="97"/>
      <c r="EU195" s="97"/>
      <c r="EV195" s="97"/>
      <c r="EW195" s="97"/>
      <c r="EX195" s="97"/>
      <c r="EY195" s="97"/>
      <c r="EZ195" s="97"/>
      <c r="FA195" s="97"/>
      <c r="FB195" s="97"/>
      <c r="FC195" s="97"/>
      <c r="FD195" s="97"/>
      <c r="FE195" s="97"/>
      <c r="FF195" s="97"/>
      <c r="FG195" s="97"/>
      <c r="FH195" s="97"/>
      <c r="FI195" s="97"/>
      <c r="FJ195" s="97"/>
      <c r="FK195" s="97"/>
      <c r="FL195" s="97"/>
      <c r="FM195" s="97"/>
      <c r="FN195" s="97"/>
      <c r="FO195" s="97"/>
      <c r="FP195" s="97"/>
      <c r="FQ195" s="97"/>
      <c r="FR195" s="97"/>
      <c r="FS195" s="97"/>
      <c r="FT195" s="97"/>
      <c r="FU195" s="97"/>
    </row>
    <row r="196" spans="2:177" s="1" customFormat="1" ht="15.75">
      <c r="B196" s="5"/>
      <c r="C196" s="5"/>
      <c r="D196" s="5"/>
      <c r="E196" s="5"/>
      <c r="F196" s="5"/>
      <c r="G196" s="5"/>
      <c r="H196" s="5"/>
      <c r="I196" s="5"/>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97"/>
      <c r="EJ196" s="97"/>
      <c r="EK196" s="97"/>
      <c r="EL196" s="97"/>
      <c r="EM196" s="97"/>
      <c r="EN196" s="97"/>
      <c r="EO196" s="97"/>
      <c r="EP196" s="97"/>
      <c r="EQ196" s="97"/>
      <c r="ER196" s="97"/>
      <c r="ES196" s="97"/>
      <c r="ET196" s="97"/>
      <c r="EU196" s="97"/>
      <c r="EV196" s="97"/>
      <c r="EW196" s="97"/>
      <c r="EX196" s="97"/>
      <c r="EY196" s="97"/>
      <c r="EZ196" s="97"/>
      <c r="FA196" s="97"/>
      <c r="FB196" s="97"/>
      <c r="FC196" s="97"/>
      <c r="FD196" s="97"/>
      <c r="FE196" s="97"/>
      <c r="FF196" s="97"/>
      <c r="FG196" s="97"/>
      <c r="FH196" s="97"/>
      <c r="FI196" s="97"/>
      <c r="FJ196" s="97"/>
      <c r="FK196" s="97"/>
      <c r="FL196" s="97"/>
      <c r="FM196" s="97"/>
      <c r="FN196" s="97"/>
      <c r="FO196" s="97"/>
      <c r="FP196" s="97"/>
      <c r="FQ196" s="97"/>
      <c r="FR196" s="97"/>
      <c r="FS196" s="97"/>
      <c r="FT196" s="97"/>
      <c r="FU196" s="97"/>
    </row>
    <row r="197" spans="2:177" s="1" customFormat="1" ht="15.75">
      <c r="B197" s="5"/>
      <c r="C197" s="5"/>
      <c r="D197" s="5"/>
      <c r="E197" s="5"/>
      <c r="F197" s="5"/>
      <c r="G197" s="5"/>
      <c r="H197" s="5"/>
      <c r="I197" s="5"/>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7"/>
      <c r="DY197" s="97"/>
      <c r="DZ197" s="97"/>
      <c r="EA197" s="97"/>
      <c r="EB197" s="97"/>
      <c r="EC197" s="97"/>
      <c r="ED197" s="97"/>
      <c r="EE197" s="97"/>
      <c r="EF197" s="97"/>
      <c r="EG197" s="97"/>
      <c r="EH197" s="97"/>
      <c r="EI197" s="97"/>
      <c r="EJ197" s="97"/>
      <c r="EK197" s="97"/>
      <c r="EL197" s="97"/>
      <c r="EM197" s="97"/>
      <c r="EN197" s="97"/>
      <c r="EO197" s="97"/>
      <c r="EP197" s="97"/>
      <c r="EQ197" s="97"/>
      <c r="ER197" s="97"/>
      <c r="ES197" s="97"/>
      <c r="ET197" s="97"/>
      <c r="EU197" s="97"/>
      <c r="EV197" s="97"/>
      <c r="EW197" s="97"/>
      <c r="EX197" s="97"/>
      <c r="EY197" s="97"/>
      <c r="EZ197" s="97"/>
      <c r="FA197" s="97"/>
      <c r="FB197" s="97"/>
      <c r="FC197" s="97"/>
      <c r="FD197" s="97"/>
      <c r="FE197" s="97"/>
      <c r="FF197" s="97"/>
      <c r="FG197" s="97"/>
      <c r="FH197" s="97"/>
      <c r="FI197" s="97"/>
      <c r="FJ197" s="97"/>
      <c r="FK197" s="97"/>
      <c r="FL197" s="97"/>
      <c r="FM197" s="97"/>
      <c r="FN197" s="97"/>
      <c r="FO197" s="97"/>
      <c r="FP197" s="97"/>
      <c r="FQ197" s="97"/>
      <c r="FR197" s="97"/>
      <c r="FS197" s="97"/>
      <c r="FT197" s="97"/>
      <c r="FU197" s="97"/>
    </row>
    <row r="198" spans="2:177" s="1" customFormat="1" ht="15.75">
      <c r="B198" s="5"/>
      <c r="C198" s="5"/>
      <c r="D198" s="5"/>
      <c r="E198" s="5"/>
      <c r="F198" s="5"/>
      <c r="G198" s="5"/>
      <c r="H198" s="5"/>
      <c r="I198" s="5"/>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c r="DW198" s="97"/>
      <c r="DX198" s="97"/>
      <c r="DY198" s="97"/>
      <c r="DZ198" s="97"/>
      <c r="EA198" s="97"/>
      <c r="EB198" s="97"/>
      <c r="EC198" s="97"/>
      <c r="ED198" s="97"/>
      <c r="EE198" s="97"/>
      <c r="EF198" s="97"/>
      <c r="EG198" s="97"/>
      <c r="EH198" s="97"/>
      <c r="EI198" s="97"/>
      <c r="EJ198" s="97"/>
      <c r="EK198" s="97"/>
      <c r="EL198" s="97"/>
      <c r="EM198" s="97"/>
      <c r="EN198" s="97"/>
      <c r="EO198" s="97"/>
      <c r="EP198" s="97"/>
      <c r="EQ198" s="97"/>
      <c r="ER198" s="97"/>
      <c r="ES198" s="97"/>
      <c r="ET198" s="97"/>
      <c r="EU198" s="97"/>
      <c r="EV198" s="97"/>
      <c r="EW198" s="97"/>
      <c r="EX198" s="97"/>
      <c r="EY198" s="97"/>
      <c r="EZ198" s="97"/>
      <c r="FA198" s="97"/>
      <c r="FB198" s="97"/>
      <c r="FC198" s="97"/>
      <c r="FD198" s="97"/>
      <c r="FE198" s="97"/>
      <c r="FF198" s="97"/>
      <c r="FG198" s="97"/>
      <c r="FH198" s="97"/>
      <c r="FI198" s="97"/>
      <c r="FJ198" s="97"/>
      <c r="FK198" s="97"/>
      <c r="FL198" s="97"/>
      <c r="FM198" s="97"/>
      <c r="FN198" s="97"/>
      <c r="FO198" s="97"/>
      <c r="FP198" s="97"/>
      <c r="FQ198" s="97"/>
      <c r="FR198" s="97"/>
      <c r="FS198" s="97"/>
      <c r="FT198" s="97"/>
      <c r="FU198" s="97"/>
    </row>
    <row r="199" spans="2:177" s="1" customFormat="1" ht="18.75" customHeight="1">
      <c r="B199" s="5"/>
      <c r="C199" s="5"/>
      <c r="D199" s="5"/>
      <c r="E199" s="5"/>
      <c r="F199" s="5"/>
      <c r="G199" s="5"/>
      <c r="H199" s="5"/>
      <c r="I199" s="5"/>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c r="CY199" s="97"/>
      <c r="CZ199" s="97"/>
      <c r="DA199" s="97"/>
      <c r="DB199" s="97"/>
      <c r="DC199" s="97"/>
      <c r="DD199" s="97"/>
      <c r="DE199" s="97"/>
      <c r="DF199" s="97"/>
      <c r="DG199" s="97"/>
      <c r="DH199" s="97"/>
      <c r="DI199" s="97"/>
      <c r="DJ199" s="97"/>
      <c r="DK199" s="97"/>
      <c r="DL199" s="97"/>
      <c r="DM199" s="97"/>
      <c r="DN199" s="97"/>
      <c r="DO199" s="97"/>
      <c r="DP199" s="97"/>
      <c r="DQ199" s="97"/>
      <c r="DR199" s="97"/>
      <c r="DS199" s="97"/>
      <c r="DT199" s="97"/>
      <c r="DU199" s="97"/>
      <c r="DV199" s="97"/>
      <c r="DW199" s="97"/>
      <c r="DX199" s="97"/>
      <c r="DY199" s="97"/>
      <c r="DZ199" s="97"/>
      <c r="EA199" s="97"/>
      <c r="EB199" s="97"/>
      <c r="EC199" s="97"/>
      <c r="ED199" s="97"/>
      <c r="EE199" s="97"/>
      <c r="EF199" s="97"/>
      <c r="EG199" s="97"/>
      <c r="EH199" s="97"/>
      <c r="EI199" s="97"/>
      <c r="EJ199" s="97"/>
      <c r="EK199" s="97"/>
      <c r="EL199" s="97"/>
      <c r="EM199" s="97"/>
      <c r="EN199" s="97"/>
      <c r="EO199" s="97"/>
      <c r="EP199" s="97"/>
      <c r="EQ199" s="97"/>
      <c r="ER199" s="97"/>
      <c r="ES199" s="97"/>
      <c r="ET199" s="97"/>
      <c r="EU199" s="97"/>
      <c r="EV199" s="97"/>
      <c r="EW199" s="97"/>
      <c r="EX199" s="97"/>
      <c r="EY199" s="97"/>
      <c r="EZ199" s="97"/>
      <c r="FA199" s="97"/>
      <c r="FB199" s="97"/>
      <c r="FC199" s="97"/>
      <c r="FD199" s="97"/>
      <c r="FE199" s="97"/>
      <c r="FF199" s="97"/>
      <c r="FG199" s="97"/>
      <c r="FH199" s="97"/>
      <c r="FI199" s="97"/>
      <c r="FJ199" s="97"/>
      <c r="FK199" s="97"/>
      <c r="FL199" s="97"/>
      <c r="FM199" s="97"/>
      <c r="FN199" s="97"/>
      <c r="FO199" s="97"/>
      <c r="FP199" s="97"/>
      <c r="FQ199" s="97"/>
      <c r="FR199" s="97"/>
      <c r="FS199" s="97"/>
      <c r="FT199" s="97"/>
      <c r="FU199" s="97"/>
    </row>
    <row r="200" spans="2:177" s="2" customFormat="1" ht="15.75">
      <c r="B200" s="5"/>
      <c r="C200" s="5"/>
      <c r="D200" s="5"/>
      <c r="E200" s="5"/>
      <c r="F200" s="5"/>
      <c r="G200" s="5"/>
      <c r="H200" s="5"/>
      <c r="I200" s="5"/>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96"/>
      <c r="CL200" s="96"/>
      <c r="CM200" s="96"/>
      <c r="CN200" s="96"/>
      <c r="CO200" s="96"/>
      <c r="CP200" s="96"/>
      <c r="CQ200" s="96"/>
      <c r="CR200" s="96"/>
      <c r="CS200" s="96"/>
      <c r="CT200" s="96"/>
      <c r="CU200" s="96"/>
      <c r="CV200" s="96"/>
      <c r="CW200" s="96"/>
      <c r="CX200" s="96"/>
      <c r="CY200" s="96"/>
      <c r="CZ200" s="96"/>
      <c r="DA200" s="96"/>
      <c r="DB200" s="96"/>
      <c r="DC200" s="96"/>
      <c r="DD200" s="96"/>
      <c r="DE200" s="96"/>
      <c r="DF200" s="96"/>
      <c r="DG200" s="96"/>
      <c r="DH200" s="96"/>
      <c r="DI200" s="96"/>
      <c r="DJ200" s="96"/>
      <c r="DK200" s="96"/>
      <c r="DL200" s="96"/>
      <c r="DM200" s="96"/>
      <c r="DN200" s="96"/>
      <c r="DO200" s="96"/>
      <c r="DP200" s="96"/>
      <c r="DQ200" s="96"/>
      <c r="DR200" s="96"/>
      <c r="DS200" s="96"/>
      <c r="DT200" s="96"/>
      <c r="DU200" s="96"/>
      <c r="DV200" s="96"/>
      <c r="DW200" s="96"/>
      <c r="DX200" s="96"/>
      <c r="DY200" s="96"/>
      <c r="DZ200" s="96"/>
      <c r="EA200" s="96"/>
      <c r="EB200" s="96"/>
      <c r="EC200" s="96"/>
      <c r="ED200" s="96"/>
      <c r="EE200" s="96"/>
      <c r="EF200" s="96"/>
      <c r="EG200" s="96"/>
      <c r="EH200" s="96"/>
      <c r="EI200" s="96"/>
      <c r="EJ200" s="96"/>
      <c r="EK200" s="96"/>
      <c r="EL200" s="96"/>
      <c r="EM200" s="96"/>
      <c r="EN200" s="96"/>
      <c r="EO200" s="96"/>
      <c r="EP200" s="96"/>
      <c r="EQ200" s="96"/>
      <c r="ER200" s="96"/>
      <c r="ES200" s="96"/>
      <c r="ET200" s="96"/>
      <c r="EU200" s="96"/>
      <c r="EV200" s="96"/>
      <c r="EW200" s="96"/>
      <c r="EX200" s="96"/>
      <c r="EY200" s="96"/>
      <c r="EZ200" s="96"/>
      <c r="FA200" s="96"/>
      <c r="FB200" s="96"/>
      <c r="FC200" s="96"/>
      <c r="FD200" s="96"/>
      <c r="FE200" s="96"/>
      <c r="FF200" s="96"/>
      <c r="FG200" s="96"/>
      <c r="FH200" s="96"/>
      <c r="FI200" s="96"/>
      <c r="FJ200" s="96"/>
      <c r="FK200" s="96"/>
      <c r="FL200" s="96"/>
      <c r="FM200" s="96"/>
      <c r="FN200" s="96"/>
      <c r="FO200" s="96"/>
      <c r="FP200" s="96"/>
      <c r="FQ200" s="96"/>
      <c r="FR200" s="96"/>
      <c r="FS200" s="96"/>
      <c r="FT200" s="96"/>
      <c r="FU200" s="96"/>
    </row>
    <row r="201" spans="2:177" s="1" customFormat="1" ht="15.75">
      <c r="B201" s="5"/>
      <c r="C201" s="5"/>
      <c r="D201" s="5"/>
      <c r="E201" s="5"/>
      <c r="F201" s="5"/>
      <c r="G201" s="5"/>
      <c r="H201" s="5"/>
      <c r="I201" s="5"/>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c r="CY201" s="97"/>
      <c r="CZ201" s="97"/>
      <c r="DA201" s="97"/>
      <c r="DB201" s="97"/>
      <c r="DC201" s="97"/>
      <c r="DD201" s="97"/>
      <c r="DE201" s="97"/>
      <c r="DF201" s="97"/>
      <c r="DG201" s="97"/>
      <c r="DH201" s="97"/>
      <c r="DI201" s="97"/>
      <c r="DJ201" s="97"/>
      <c r="DK201" s="97"/>
      <c r="DL201" s="97"/>
      <c r="DM201" s="97"/>
      <c r="DN201" s="97"/>
      <c r="DO201" s="97"/>
      <c r="DP201" s="97"/>
      <c r="DQ201" s="97"/>
      <c r="DR201" s="97"/>
      <c r="DS201" s="97"/>
      <c r="DT201" s="97"/>
      <c r="DU201" s="97"/>
      <c r="DV201" s="97"/>
      <c r="DW201" s="97"/>
      <c r="DX201" s="97"/>
      <c r="DY201" s="97"/>
      <c r="DZ201" s="97"/>
      <c r="EA201" s="97"/>
      <c r="EB201" s="97"/>
      <c r="EC201" s="97"/>
      <c r="ED201" s="97"/>
      <c r="EE201" s="97"/>
      <c r="EF201" s="97"/>
      <c r="EG201" s="97"/>
      <c r="EH201" s="97"/>
      <c r="EI201" s="97"/>
      <c r="EJ201" s="97"/>
      <c r="EK201" s="97"/>
      <c r="EL201" s="97"/>
      <c r="EM201" s="97"/>
      <c r="EN201" s="97"/>
      <c r="EO201" s="97"/>
      <c r="EP201" s="97"/>
      <c r="EQ201" s="97"/>
      <c r="ER201" s="97"/>
      <c r="ES201" s="97"/>
      <c r="ET201" s="97"/>
      <c r="EU201" s="97"/>
      <c r="EV201" s="97"/>
      <c r="EW201" s="97"/>
      <c r="EX201" s="97"/>
      <c r="EY201" s="97"/>
      <c r="EZ201" s="97"/>
      <c r="FA201" s="97"/>
      <c r="FB201" s="97"/>
      <c r="FC201" s="97"/>
      <c r="FD201" s="97"/>
      <c r="FE201" s="97"/>
      <c r="FF201" s="97"/>
      <c r="FG201" s="97"/>
      <c r="FH201" s="97"/>
      <c r="FI201" s="97"/>
      <c r="FJ201" s="97"/>
      <c r="FK201" s="97"/>
      <c r="FL201" s="97"/>
      <c r="FM201" s="97"/>
      <c r="FN201" s="97"/>
      <c r="FO201" s="97"/>
      <c r="FP201" s="97"/>
      <c r="FQ201" s="97"/>
      <c r="FR201" s="97"/>
      <c r="FS201" s="97"/>
      <c r="FT201" s="97"/>
      <c r="FU201" s="97"/>
    </row>
    <row r="202" spans="2:177" s="1" customFormat="1" ht="15.75">
      <c r="B202" s="5"/>
      <c r="C202" s="5"/>
      <c r="D202" s="5"/>
      <c r="E202" s="5"/>
      <c r="F202" s="5"/>
      <c r="G202" s="5"/>
      <c r="H202" s="5"/>
      <c r="I202" s="5"/>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row>
    <row r="203" spans="2:177" s="1" customFormat="1" ht="15.75">
      <c r="B203" s="5"/>
      <c r="C203" s="5"/>
      <c r="D203" s="5"/>
      <c r="E203" s="5"/>
      <c r="F203" s="5"/>
      <c r="G203" s="5"/>
      <c r="H203" s="5"/>
      <c r="I203" s="5"/>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c r="DQ203" s="97"/>
      <c r="DR203" s="97"/>
      <c r="DS203" s="97"/>
      <c r="DT203" s="97"/>
      <c r="DU203" s="97"/>
      <c r="DV203" s="97"/>
      <c r="DW203" s="97"/>
      <c r="DX203" s="97"/>
      <c r="DY203" s="97"/>
      <c r="DZ203" s="97"/>
      <c r="EA203" s="97"/>
      <c r="EB203" s="97"/>
      <c r="EC203" s="97"/>
      <c r="ED203" s="97"/>
      <c r="EE203" s="97"/>
      <c r="EF203" s="97"/>
      <c r="EG203" s="97"/>
      <c r="EH203" s="97"/>
      <c r="EI203" s="97"/>
      <c r="EJ203" s="97"/>
      <c r="EK203" s="97"/>
      <c r="EL203" s="97"/>
      <c r="EM203" s="97"/>
      <c r="EN203" s="97"/>
      <c r="EO203" s="97"/>
      <c r="EP203" s="97"/>
      <c r="EQ203" s="97"/>
      <c r="ER203" s="97"/>
      <c r="ES203" s="97"/>
      <c r="ET203" s="97"/>
      <c r="EU203" s="97"/>
      <c r="EV203" s="97"/>
      <c r="EW203" s="97"/>
      <c r="EX203" s="97"/>
      <c r="EY203" s="97"/>
      <c r="EZ203" s="97"/>
      <c r="FA203" s="97"/>
      <c r="FB203" s="97"/>
      <c r="FC203" s="97"/>
      <c r="FD203" s="97"/>
      <c r="FE203" s="97"/>
      <c r="FF203" s="97"/>
      <c r="FG203" s="97"/>
      <c r="FH203" s="97"/>
      <c r="FI203" s="97"/>
      <c r="FJ203" s="97"/>
      <c r="FK203" s="97"/>
      <c r="FL203" s="97"/>
      <c r="FM203" s="97"/>
      <c r="FN203" s="97"/>
      <c r="FO203" s="97"/>
      <c r="FP203" s="97"/>
      <c r="FQ203" s="97"/>
      <c r="FR203" s="97"/>
      <c r="FS203" s="97"/>
      <c r="FT203" s="97"/>
      <c r="FU203" s="97"/>
    </row>
    <row r="204" spans="2:177" s="1" customFormat="1" ht="15.75">
      <c r="B204" s="5"/>
      <c r="C204" s="5"/>
      <c r="D204" s="5"/>
      <c r="E204" s="5"/>
      <c r="F204" s="5"/>
      <c r="G204" s="5"/>
      <c r="H204" s="5"/>
      <c r="I204" s="5"/>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c r="EC204" s="97"/>
      <c r="ED204" s="97"/>
      <c r="EE204" s="97"/>
      <c r="EF204" s="97"/>
      <c r="EG204" s="97"/>
      <c r="EH204" s="97"/>
      <c r="EI204" s="97"/>
      <c r="EJ204" s="97"/>
      <c r="EK204" s="97"/>
      <c r="EL204" s="97"/>
      <c r="EM204" s="97"/>
      <c r="EN204" s="97"/>
      <c r="EO204" s="97"/>
      <c r="EP204" s="97"/>
      <c r="EQ204" s="97"/>
      <c r="ER204" s="97"/>
      <c r="ES204" s="97"/>
      <c r="ET204" s="97"/>
      <c r="EU204" s="97"/>
      <c r="EV204" s="97"/>
      <c r="EW204" s="97"/>
      <c r="EX204" s="97"/>
      <c r="EY204" s="97"/>
      <c r="EZ204" s="97"/>
      <c r="FA204" s="97"/>
      <c r="FB204" s="97"/>
      <c r="FC204" s="97"/>
      <c r="FD204" s="97"/>
      <c r="FE204" s="97"/>
      <c r="FF204" s="97"/>
      <c r="FG204" s="97"/>
      <c r="FH204" s="97"/>
      <c r="FI204" s="97"/>
      <c r="FJ204" s="97"/>
      <c r="FK204" s="97"/>
      <c r="FL204" s="97"/>
      <c r="FM204" s="97"/>
      <c r="FN204" s="97"/>
      <c r="FO204" s="97"/>
      <c r="FP204" s="97"/>
      <c r="FQ204" s="97"/>
      <c r="FR204" s="97"/>
      <c r="FS204" s="97"/>
      <c r="FT204" s="97"/>
      <c r="FU204" s="97"/>
    </row>
    <row r="205" spans="2:177" s="1" customFormat="1" ht="15.75">
      <c r="B205" s="5"/>
      <c r="C205" s="5"/>
      <c r="D205" s="5"/>
      <c r="E205" s="5"/>
      <c r="F205" s="5"/>
      <c r="G205" s="5"/>
      <c r="H205" s="5"/>
      <c r="I205" s="5"/>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c r="CY205" s="97"/>
      <c r="CZ205" s="97"/>
      <c r="DA205" s="97"/>
      <c r="DB205" s="97"/>
      <c r="DC205" s="97"/>
      <c r="DD205" s="97"/>
      <c r="DE205" s="97"/>
      <c r="DF205" s="97"/>
      <c r="DG205" s="97"/>
      <c r="DH205" s="97"/>
      <c r="DI205" s="97"/>
      <c r="DJ205" s="97"/>
      <c r="DK205" s="97"/>
      <c r="DL205" s="97"/>
      <c r="DM205" s="97"/>
      <c r="DN205" s="97"/>
      <c r="DO205" s="97"/>
      <c r="DP205" s="97"/>
      <c r="DQ205" s="97"/>
      <c r="DR205" s="97"/>
      <c r="DS205" s="97"/>
      <c r="DT205" s="97"/>
      <c r="DU205" s="97"/>
      <c r="DV205" s="97"/>
      <c r="DW205" s="97"/>
      <c r="DX205" s="97"/>
      <c r="DY205" s="97"/>
      <c r="DZ205" s="97"/>
      <c r="EA205" s="97"/>
      <c r="EB205" s="97"/>
      <c r="EC205" s="97"/>
      <c r="ED205" s="97"/>
      <c r="EE205" s="97"/>
      <c r="EF205" s="97"/>
      <c r="EG205" s="97"/>
      <c r="EH205" s="97"/>
      <c r="EI205" s="97"/>
      <c r="EJ205" s="97"/>
      <c r="EK205" s="97"/>
      <c r="EL205" s="97"/>
      <c r="EM205" s="97"/>
      <c r="EN205" s="97"/>
      <c r="EO205" s="97"/>
      <c r="EP205" s="97"/>
      <c r="EQ205" s="97"/>
      <c r="ER205" s="97"/>
      <c r="ES205" s="97"/>
      <c r="ET205" s="97"/>
      <c r="EU205" s="97"/>
      <c r="EV205" s="97"/>
      <c r="EW205" s="97"/>
      <c r="EX205" s="97"/>
      <c r="EY205" s="97"/>
      <c r="EZ205" s="97"/>
      <c r="FA205" s="97"/>
      <c r="FB205" s="97"/>
      <c r="FC205" s="97"/>
      <c r="FD205" s="97"/>
      <c r="FE205" s="97"/>
      <c r="FF205" s="97"/>
      <c r="FG205" s="97"/>
      <c r="FH205" s="97"/>
      <c r="FI205" s="97"/>
      <c r="FJ205" s="97"/>
      <c r="FK205" s="97"/>
      <c r="FL205" s="97"/>
      <c r="FM205" s="97"/>
      <c r="FN205" s="97"/>
      <c r="FO205" s="97"/>
      <c r="FP205" s="97"/>
      <c r="FQ205" s="97"/>
      <c r="FR205" s="97"/>
      <c r="FS205" s="97"/>
      <c r="FT205" s="97"/>
      <c r="FU205" s="97"/>
    </row>
    <row r="206" spans="2:177" s="3" customFormat="1" ht="15.75">
      <c r="B206" s="5"/>
      <c r="C206" s="6"/>
      <c r="D206" s="6"/>
      <c r="E206" s="6"/>
      <c r="F206" s="6"/>
      <c r="G206" s="6"/>
      <c r="H206" s="6"/>
      <c r="I206" s="6"/>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c r="DP206" s="10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c r="ET206" s="103"/>
      <c r="EU206" s="103"/>
      <c r="EV206" s="103"/>
      <c r="EW206" s="103"/>
      <c r="EX206" s="103"/>
      <c r="EY206" s="103"/>
      <c r="EZ206" s="103"/>
      <c r="FA206" s="103"/>
      <c r="FB206" s="103"/>
      <c r="FC206" s="103"/>
      <c r="FD206" s="103"/>
      <c r="FE206" s="103"/>
      <c r="FF206" s="103"/>
      <c r="FG206" s="103"/>
      <c r="FH206" s="103"/>
      <c r="FI206" s="103"/>
      <c r="FJ206" s="103"/>
      <c r="FK206" s="103"/>
      <c r="FL206" s="103"/>
      <c r="FM206" s="103"/>
      <c r="FN206" s="103"/>
      <c r="FO206" s="103"/>
      <c r="FP206" s="103"/>
      <c r="FQ206" s="103"/>
      <c r="FR206" s="103"/>
      <c r="FS206" s="103"/>
      <c r="FT206" s="103"/>
      <c r="FU206" s="103"/>
    </row>
    <row r="207" spans="2:177" s="1" customFormat="1" ht="15.75">
      <c r="B207" s="2"/>
      <c r="C207" s="2"/>
      <c r="D207" s="2"/>
      <c r="E207" s="2"/>
      <c r="F207" s="2"/>
      <c r="G207" s="2"/>
      <c r="H207" s="2"/>
      <c r="I207" s="2"/>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c r="CY207" s="97"/>
      <c r="CZ207" s="97"/>
      <c r="DA207" s="97"/>
      <c r="DB207" s="97"/>
      <c r="DC207" s="97"/>
      <c r="DD207" s="97"/>
      <c r="DE207" s="97"/>
      <c r="DF207" s="97"/>
      <c r="DG207" s="97"/>
      <c r="DH207" s="97"/>
      <c r="DI207" s="97"/>
      <c r="DJ207" s="97"/>
      <c r="DK207" s="97"/>
      <c r="DL207" s="97"/>
      <c r="DM207" s="97"/>
      <c r="DN207" s="97"/>
      <c r="DO207" s="97"/>
      <c r="DP207" s="97"/>
      <c r="DQ207" s="97"/>
      <c r="DR207" s="97"/>
      <c r="DS207" s="97"/>
      <c r="DT207" s="97"/>
      <c r="DU207" s="97"/>
      <c r="DV207" s="97"/>
      <c r="DW207" s="97"/>
      <c r="DX207" s="97"/>
      <c r="DY207" s="97"/>
      <c r="DZ207" s="97"/>
      <c r="EA207" s="97"/>
      <c r="EB207" s="97"/>
      <c r="EC207" s="97"/>
      <c r="ED207" s="97"/>
      <c r="EE207" s="97"/>
      <c r="EF207" s="97"/>
      <c r="EG207" s="97"/>
      <c r="EH207" s="97"/>
      <c r="EI207" s="97"/>
      <c r="EJ207" s="97"/>
      <c r="EK207" s="97"/>
      <c r="EL207" s="97"/>
      <c r="EM207" s="97"/>
      <c r="EN207" s="97"/>
      <c r="EO207" s="97"/>
      <c r="EP207" s="97"/>
      <c r="EQ207" s="97"/>
      <c r="ER207" s="97"/>
      <c r="ES207" s="97"/>
      <c r="ET207" s="97"/>
      <c r="EU207" s="97"/>
      <c r="EV207" s="97"/>
      <c r="EW207" s="97"/>
      <c r="EX207" s="97"/>
      <c r="EY207" s="97"/>
      <c r="EZ207" s="97"/>
      <c r="FA207" s="97"/>
      <c r="FB207" s="97"/>
      <c r="FC207" s="97"/>
      <c r="FD207" s="97"/>
      <c r="FE207" s="97"/>
      <c r="FF207" s="97"/>
      <c r="FG207" s="97"/>
      <c r="FH207" s="97"/>
      <c r="FI207" s="97"/>
      <c r="FJ207" s="97"/>
      <c r="FK207" s="97"/>
      <c r="FL207" s="97"/>
      <c r="FM207" s="97"/>
      <c r="FN207" s="97"/>
      <c r="FO207" s="97"/>
      <c r="FP207" s="97"/>
      <c r="FQ207" s="97"/>
      <c r="FR207" s="97"/>
      <c r="FS207" s="97"/>
      <c r="FT207" s="97"/>
      <c r="FU207" s="97"/>
    </row>
    <row r="208" spans="2:177" s="1" customFormat="1" ht="15.75">
      <c r="B208" s="2"/>
      <c r="C208" s="2"/>
      <c r="D208" s="2"/>
      <c r="E208" s="2"/>
      <c r="F208" s="2"/>
      <c r="G208" s="2"/>
      <c r="H208" s="2"/>
      <c r="I208" s="2"/>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97"/>
      <c r="DK208" s="97"/>
      <c r="DL208" s="97"/>
      <c r="DM208" s="97"/>
      <c r="DN208" s="97"/>
      <c r="DO208" s="97"/>
      <c r="DP208" s="97"/>
      <c r="DQ208" s="97"/>
      <c r="DR208" s="97"/>
      <c r="DS208" s="97"/>
      <c r="DT208" s="97"/>
      <c r="DU208" s="97"/>
      <c r="DV208" s="97"/>
      <c r="DW208" s="97"/>
      <c r="DX208" s="97"/>
      <c r="DY208" s="97"/>
      <c r="DZ208" s="97"/>
      <c r="EA208" s="97"/>
      <c r="EB208" s="97"/>
      <c r="EC208" s="97"/>
      <c r="ED208" s="97"/>
      <c r="EE208" s="97"/>
      <c r="EF208" s="97"/>
      <c r="EG208" s="97"/>
      <c r="EH208" s="97"/>
      <c r="EI208" s="97"/>
      <c r="EJ208" s="97"/>
      <c r="EK208" s="97"/>
      <c r="EL208" s="97"/>
      <c r="EM208" s="97"/>
      <c r="EN208" s="97"/>
      <c r="EO208" s="97"/>
      <c r="EP208" s="97"/>
      <c r="EQ208" s="97"/>
      <c r="ER208" s="97"/>
      <c r="ES208" s="97"/>
      <c r="ET208" s="97"/>
      <c r="EU208" s="97"/>
      <c r="EV208" s="97"/>
      <c r="EW208" s="97"/>
      <c r="EX208" s="97"/>
      <c r="EY208" s="97"/>
      <c r="EZ208" s="97"/>
      <c r="FA208" s="97"/>
      <c r="FB208" s="97"/>
      <c r="FC208" s="97"/>
      <c r="FD208" s="97"/>
      <c r="FE208" s="97"/>
      <c r="FF208" s="97"/>
      <c r="FG208" s="97"/>
      <c r="FH208" s="97"/>
      <c r="FI208" s="97"/>
      <c r="FJ208" s="97"/>
      <c r="FK208" s="97"/>
      <c r="FL208" s="97"/>
      <c r="FM208" s="97"/>
      <c r="FN208" s="97"/>
      <c r="FO208" s="97"/>
      <c r="FP208" s="97"/>
      <c r="FQ208" s="97"/>
      <c r="FR208" s="97"/>
      <c r="FS208" s="97"/>
      <c r="FT208" s="97"/>
      <c r="FU208" s="97"/>
    </row>
    <row r="209" spans="2:177" s="1" customFormat="1" ht="15.75">
      <c r="B209" s="2"/>
      <c r="C209" s="2"/>
      <c r="D209" s="2"/>
      <c r="E209" s="2"/>
      <c r="F209" s="2"/>
      <c r="G209" s="2"/>
      <c r="H209" s="2"/>
      <c r="I209" s="2"/>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c r="DQ209" s="97"/>
      <c r="DR209" s="97"/>
      <c r="DS209" s="97"/>
      <c r="DT209" s="97"/>
      <c r="DU209" s="97"/>
      <c r="DV209" s="97"/>
      <c r="DW209" s="97"/>
      <c r="DX209" s="97"/>
      <c r="DY209" s="97"/>
      <c r="DZ209" s="97"/>
      <c r="EA209" s="97"/>
      <c r="EB209" s="97"/>
      <c r="EC209" s="97"/>
      <c r="ED209" s="97"/>
      <c r="EE209" s="97"/>
      <c r="EF209" s="97"/>
      <c r="EG209" s="97"/>
      <c r="EH209" s="97"/>
      <c r="EI209" s="97"/>
      <c r="EJ209" s="97"/>
      <c r="EK209" s="97"/>
      <c r="EL209" s="97"/>
      <c r="EM209" s="97"/>
      <c r="EN209" s="97"/>
      <c r="EO209" s="97"/>
      <c r="EP209" s="97"/>
      <c r="EQ209" s="97"/>
      <c r="ER209" s="97"/>
      <c r="ES209" s="97"/>
      <c r="ET209" s="97"/>
      <c r="EU209" s="97"/>
      <c r="EV209" s="97"/>
      <c r="EW209" s="97"/>
      <c r="EX209" s="97"/>
      <c r="EY209" s="97"/>
      <c r="EZ209" s="97"/>
      <c r="FA209" s="97"/>
      <c r="FB209" s="97"/>
      <c r="FC209" s="97"/>
      <c r="FD209" s="97"/>
      <c r="FE209" s="97"/>
      <c r="FF209" s="97"/>
      <c r="FG209" s="97"/>
      <c r="FH209" s="97"/>
      <c r="FI209" s="97"/>
      <c r="FJ209" s="97"/>
      <c r="FK209" s="97"/>
      <c r="FL209" s="97"/>
      <c r="FM209" s="97"/>
      <c r="FN209" s="97"/>
      <c r="FO209" s="97"/>
      <c r="FP209" s="97"/>
      <c r="FQ209" s="97"/>
      <c r="FR209" s="97"/>
      <c r="FS209" s="97"/>
      <c r="FT209" s="97"/>
      <c r="FU209" s="97"/>
    </row>
    <row r="210" spans="2:177" s="1" customFormat="1" ht="15.75">
      <c r="B210" s="2"/>
      <c r="C210" s="2"/>
      <c r="D210" s="2"/>
      <c r="E210" s="2"/>
      <c r="F210" s="2"/>
      <c r="G210" s="2"/>
      <c r="H210" s="2"/>
      <c r="I210" s="2"/>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c r="DQ210" s="97"/>
      <c r="DR210" s="97"/>
      <c r="DS210" s="97"/>
      <c r="DT210" s="97"/>
      <c r="DU210" s="97"/>
      <c r="DV210" s="97"/>
      <c r="DW210" s="97"/>
      <c r="DX210" s="97"/>
      <c r="DY210" s="97"/>
      <c r="DZ210" s="97"/>
      <c r="EA210" s="97"/>
      <c r="EB210" s="97"/>
      <c r="EC210" s="97"/>
      <c r="ED210" s="97"/>
      <c r="EE210" s="97"/>
      <c r="EF210" s="97"/>
      <c r="EG210" s="97"/>
      <c r="EH210" s="97"/>
      <c r="EI210" s="97"/>
      <c r="EJ210" s="97"/>
      <c r="EK210" s="97"/>
      <c r="EL210" s="97"/>
      <c r="EM210" s="97"/>
      <c r="EN210" s="97"/>
      <c r="EO210" s="97"/>
      <c r="EP210" s="97"/>
      <c r="EQ210" s="97"/>
      <c r="ER210" s="97"/>
      <c r="ES210" s="97"/>
      <c r="ET210" s="97"/>
      <c r="EU210" s="97"/>
      <c r="EV210" s="97"/>
      <c r="EW210" s="97"/>
      <c r="EX210" s="97"/>
      <c r="EY210" s="97"/>
      <c r="EZ210" s="97"/>
      <c r="FA210" s="97"/>
      <c r="FB210" s="97"/>
      <c r="FC210" s="97"/>
      <c r="FD210" s="97"/>
      <c r="FE210" s="97"/>
      <c r="FF210" s="97"/>
      <c r="FG210" s="97"/>
      <c r="FH210" s="97"/>
      <c r="FI210" s="97"/>
      <c r="FJ210" s="97"/>
      <c r="FK210" s="97"/>
      <c r="FL210" s="97"/>
      <c r="FM210" s="97"/>
      <c r="FN210" s="97"/>
      <c r="FO210" s="97"/>
      <c r="FP210" s="97"/>
      <c r="FQ210" s="97"/>
      <c r="FR210" s="97"/>
      <c r="FS210" s="97"/>
      <c r="FT210" s="97"/>
      <c r="FU210" s="97"/>
    </row>
    <row r="211" spans="2:177" s="1" customFormat="1" ht="15.75">
      <c r="B211" s="2"/>
      <c r="C211" s="2"/>
      <c r="D211" s="2"/>
      <c r="E211" s="2"/>
      <c r="F211" s="2"/>
      <c r="G211" s="2"/>
      <c r="H211" s="2"/>
      <c r="I211" s="2"/>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7"/>
      <c r="DK211" s="97"/>
      <c r="DL211" s="97"/>
      <c r="DM211" s="97"/>
      <c r="DN211" s="97"/>
      <c r="DO211" s="97"/>
      <c r="DP211" s="97"/>
      <c r="DQ211" s="97"/>
      <c r="DR211" s="97"/>
      <c r="DS211" s="97"/>
      <c r="DT211" s="97"/>
      <c r="DU211" s="97"/>
      <c r="DV211" s="97"/>
      <c r="DW211" s="97"/>
      <c r="DX211" s="97"/>
      <c r="DY211" s="97"/>
      <c r="DZ211" s="97"/>
      <c r="EA211" s="97"/>
      <c r="EB211" s="97"/>
      <c r="EC211" s="97"/>
      <c r="ED211" s="97"/>
      <c r="EE211" s="97"/>
      <c r="EF211" s="97"/>
      <c r="EG211" s="97"/>
      <c r="EH211" s="97"/>
      <c r="EI211" s="97"/>
      <c r="EJ211" s="97"/>
      <c r="EK211" s="97"/>
      <c r="EL211" s="97"/>
      <c r="EM211" s="97"/>
      <c r="EN211" s="97"/>
      <c r="EO211" s="97"/>
      <c r="EP211" s="97"/>
      <c r="EQ211" s="97"/>
      <c r="ER211" s="97"/>
      <c r="ES211" s="97"/>
      <c r="ET211" s="97"/>
      <c r="EU211" s="97"/>
      <c r="EV211" s="97"/>
      <c r="EW211" s="97"/>
      <c r="EX211" s="97"/>
      <c r="EY211" s="97"/>
      <c r="EZ211" s="97"/>
      <c r="FA211" s="97"/>
      <c r="FB211" s="97"/>
      <c r="FC211" s="97"/>
      <c r="FD211" s="97"/>
      <c r="FE211" s="97"/>
      <c r="FF211" s="97"/>
      <c r="FG211" s="97"/>
      <c r="FH211" s="97"/>
      <c r="FI211" s="97"/>
      <c r="FJ211" s="97"/>
      <c r="FK211" s="97"/>
      <c r="FL211" s="97"/>
      <c r="FM211" s="97"/>
      <c r="FN211" s="97"/>
      <c r="FO211" s="97"/>
      <c r="FP211" s="97"/>
      <c r="FQ211" s="97"/>
      <c r="FR211" s="97"/>
      <c r="FS211" s="97"/>
      <c r="FT211" s="97"/>
      <c r="FU211" s="97"/>
    </row>
    <row r="212" spans="2:177" s="1" customFormat="1" ht="15.75">
      <c r="B212" s="2"/>
      <c r="C212" s="2"/>
      <c r="D212" s="2"/>
      <c r="E212" s="2"/>
      <c r="F212" s="2"/>
      <c r="G212" s="2"/>
      <c r="H212" s="2"/>
      <c r="I212" s="2"/>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c r="DQ212" s="97"/>
      <c r="DR212" s="97"/>
      <c r="DS212" s="97"/>
      <c r="DT212" s="97"/>
      <c r="DU212" s="97"/>
      <c r="DV212" s="97"/>
      <c r="DW212" s="97"/>
      <c r="DX212" s="97"/>
      <c r="DY212" s="97"/>
      <c r="DZ212" s="97"/>
      <c r="EA212" s="97"/>
      <c r="EB212" s="97"/>
      <c r="EC212" s="97"/>
      <c r="ED212" s="97"/>
      <c r="EE212" s="97"/>
      <c r="EF212" s="97"/>
      <c r="EG212" s="97"/>
      <c r="EH212" s="97"/>
      <c r="EI212" s="97"/>
      <c r="EJ212" s="97"/>
      <c r="EK212" s="97"/>
      <c r="EL212" s="97"/>
      <c r="EM212" s="97"/>
      <c r="EN212" s="97"/>
      <c r="EO212" s="97"/>
      <c r="EP212" s="97"/>
      <c r="EQ212" s="97"/>
      <c r="ER212" s="97"/>
      <c r="ES212" s="97"/>
      <c r="ET212" s="97"/>
      <c r="EU212" s="97"/>
      <c r="EV212" s="97"/>
      <c r="EW212" s="97"/>
      <c r="EX212" s="97"/>
      <c r="EY212" s="97"/>
      <c r="EZ212" s="97"/>
      <c r="FA212" s="97"/>
      <c r="FB212" s="97"/>
      <c r="FC212" s="97"/>
      <c r="FD212" s="97"/>
      <c r="FE212" s="97"/>
      <c r="FF212" s="97"/>
      <c r="FG212" s="97"/>
      <c r="FH212" s="97"/>
      <c r="FI212" s="97"/>
      <c r="FJ212" s="97"/>
      <c r="FK212" s="97"/>
      <c r="FL212" s="97"/>
      <c r="FM212" s="97"/>
      <c r="FN212" s="97"/>
      <c r="FO212" s="97"/>
      <c r="FP212" s="97"/>
      <c r="FQ212" s="97"/>
      <c r="FR212" s="97"/>
      <c r="FS212" s="97"/>
      <c r="FT212" s="97"/>
      <c r="FU212" s="97"/>
    </row>
    <row r="213" spans="2:177" s="1" customFormat="1" ht="15.75">
      <c r="B213" s="2"/>
      <c r="C213" s="2"/>
      <c r="D213" s="2"/>
      <c r="E213" s="2"/>
      <c r="F213" s="2"/>
      <c r="G213" s="2"/>
      <c r="H213" s="2"/>
      <c r="I213" s="2"/>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c r="EC213" s="97"/>
      <c r="ED213" s="97"/>
      <c r="EE213" s="97"/>
      <c r="EF213" s="97"/>
      <c r="EG213" s="97"/>
      <c r="EH213" s="97"/>
      <c r="EI213" s="97"/>
      <c r="EJ213" s="97"/>
      <c r="EK213" s="97"/>
      <c r="EL213" s="97"/>
      <c r="EM213" s="97"/>
      <c r="EN213" s="97"/>
      <c r="EO213" s="97"/>
      <c r="EP213" s="97"/>
      <c r="EQ213" s="97"/>
      <c r="ER213" s="97"/>
      <c r="ES213" s="97"/>
      <c r="ET213" s="97"/>
      <c r="EU213" s="97"/>
      <c r="EV213" s="97"/>
      <c r="EW213" s="97"/>
      <c r="EX213" s="97"/>
      <c r="EY213" s="97"/>
      <c r="EZ213" s="97"/>
      <c r="FA213" s="97"/>
      <c r="FB213" s="97"/>
      <c r="FC213" s="97"/>
      <c r="FD213" s="97"/>
      <c r="FE213" s="97"/>
      <c r="FF213" s="97"/>
      <c r="FG213" s="97"/>
      <c r="FH213" s="97"/>
      <c r="FI213" s="97"/>
      <c r="FJ213" s="97"/>
      <c r="FK213" s="97"/>
      <c r="FL213" s="97"/>
      <c r="FM213" s="97"/>
      <c r="FN213" s="97"/>
      <c r="FO213" s="97"/>
      <c r="FP213" s="97"/>
      <c r="FQ213" s="97"/>
      <c r="FR213" s="97"/>
      <c r="FS213" s="97"/>
      <c r="FT213" s="97"/>
      <c r="FU213" s="97"/>
    </row>
    <row r="214" spans="2:177" s="1" customFormat="1" ht="15.75">
      <c r="B214" s="2"/>
      <c r="C214" s="2"/>
      <c r="D214" s="2"/>
      <c r="E214" s="2"/>
      <c r="F214" s="2"/>
      <c r="G214" s="2"/>
      <c r="H214" s="2"/>
      <c r="I214" s="2"/>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c r="DQ214" s="97"/>
      <c r="DR214" s="97"/>
      <c r="DS214" s="97"/>
      <c r="DT214" s="97"/>
      <c r="DU214" s="97"/>
      <c r="DV214" s="97"/>
      <c r="DW214" s="97"/>
      <c r="DX214" s="97"/>
      <c r="DY214" s="97"/>
      <c r="DZ214" s="97"/>
      <c r="EA214" s="97"/>
      <c r="EB214" s="97"/>
      <c r="EC214" s="97"/>
      <c r="ED214" s="97"/>
      <c r="EE214" s="97"/>
      <c r="EF214" s="97"/>
      <c r="EG214" s="97"/>
      <c r="EH214" s="97"/>
      <c r="EI214" s="97"/>
      <c r="EJ214" s="97"/>
      <c r="EK214" s="97"/>
      <c r="EL214" s="97"/>
      <c r="EM214" s="97"/>
      <c r="EN214" s="97"/>
      <c r="EO214" s="97"/>
      <c r="EP214" s="97"/>
      <c r="EQ214" s="97"/>
      <c r="ER214" s="97"/>
      <c r="ES214" s="97"/>
      <c r="ET214" s="97"/>
      <c r="EU214" s="97"/>
      <c r="EV214" s="97"/>
      <c r="EW214" s="97"/>
      <c r="EX214" s="97"/>
      <c r="EY214" s="97"/>
      <c r="EZ214" s="97"/>
      <c r="FA214" s="97"/>
      <c r="FB214" s="97"/>
      <c r="FC214" s="97"/>
      <c r="FD214" s="97"/>
      <c r="FE214" s="97"/>
      <c r="FF214" s="97"/>
      <c r="FG214" s="97"/>
      <c r="FH214" s="97"/>
      <c r="FI214" s="97"/>
      <c r="FJ214" s="97"/>
      <c r="FK214" s="97"/>
      <c r="FL214" s="97"/>
      <c r="FM214" s="97"/>
      <c r="FN214" s="97"/>
      <c r="FO214" s="97"/>
      <c r="FP214" s="97"/>
      <c r="FQ214" s="97"/>
      <c r="FR214" s="97"/>
      <c r="FS214" s="97"/>
      <c r="FT214" s="97"/>
      <c r="FU214" s="97"/>
    </row>
    <row r="215" spans="10:177" s="1" customFormat="1" ht="15.75">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c r="DQ215" s="97"/>
      <c r="DR215" s="97"/>
      <c r="DS215" s="97"/>
      <c r="DT215" s="97"/>
      <c r="DU215" s="97"/>
      <c r="DV215" s="97"/>
      <c r="DW215" s="97"/>
      <c r="DX215" s="97"/>
      <c r="DY215" s="97"/>
      <c r="DZ215" s="97"/>
      <c r="EA215" s="97"/>
      <c r="EB215" s="97"/>
      <c r="EC215" s="97"/>
      <c r="ED215" s="97"/>
      <c r="EE215" s="97"/>
      <c r="EF215" s="97"/>
      <c r="EG215" s="97"/>
      <c r="EH215" s="97"/>
      <c r="EI215" s="97"/>
      <c r="EJ215" s="97"/>
      <c r="EK215" s="97"/>
      <c r="EL215" s="97"/>
      <c r="EM215" s="97"/>
      <c r="EN215" s="97"/>
      <c r="EO215" s="97"/>
      <c r="EP215" s="97"/>
      <c r="EQ215" s="97"/>
      <c r="ER215" s="97"/>
      <c r="ES215" s="97"/>
      <c r="ET215" s="97"/>
      <c r="EU215" s="97"/>
      <c r="EV215" s="97"/>
      <c r="EW215" s="97"/>
      <c r="EX215" s="97"/>
      <c r="EY215" s="97"/>
      <c r="EZ215" s="97"/>
      <c r="FA215" s="97"/>
      <c r="FB215" s="97"/>
      <c r="FC215" s="97"/>
      <c r="FD215" s="97"/>
      <c r="FE215" s="97"/>
      <c r="FF215" s="97"/>
      <c r="FG215" s="97"/>
      <c r="FH215" s="97"/>
      <c r="FI215" s="97"/>
      <c r="FJ215" s="97"/>
      <c r="FK215" s="97"/>
      <c r="FL215" s="97"/>
      <c r="FM215" s="97"/>
      <c r="FN215" s="97"/>
      <c r="FO215" s="97"/>
      <c r="FP215" s="97"/>
      <c r="FQ215" s="97"/>
      <c r="FR215" s="97"/>
      <c r="FS215" s="97"/>
      <c r="FT215" s="97"/>
      <c r="FU215" s="97"/>
    </row>
    <row r="216" spans="10:177" s="1" customFormat="1" ht="15.75">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97"/>
      <c r="DJ216" s="97"/>
      <c r="DK216" s="97"/>
      <c r="DL216" s="97"/>
      <c r="DM216" s="97"/>
      <c r="DN216" s="97"/>
      <c r="DO216" s="97"/>
      <c r="DP216" s="97"/>
      <c r="DQ216" s="97"/>
      <c r="DR216" s="97"/>
      <c r="DS216" s="97"/>
      <c r="DT216" s="97"/>
      <c r="DU216" s="97"/>
      <c r="DV216" s="97"/>
      <c r="DW216" s="97"/>
      <c r="DX216" s="97"/>
      <c r="DY216" s="97"/>
      <c r="DZ216" s="97"/>
      <c r="EA216" s="97"/>
      <c r="EB216" s="97"/>
      <c r="EC216" s="97"/>
      <c r="ED216" s="97"/>
      <c r="EE216" s="97"/>
      <c r="EF216" s="97"/>
      <c r="EG216" s="97"/>
      <c r="EH216" s="97"/>
      <c r="EI216" s="97"/>
      <c r="EJ216" s="97"/>
      <c r="EK216" s="97"/>
      <c r="EL216" s="97"/>
      <c r="EM216" s="97"/>
      <c r="EN216" s="97"/>
      <c r="EO216" s="97"/>
      <c r="EP216" s="97"/>
      <c r="EQ216" s="97"/>
      <c r="ER216" s="97"/>
      <c r="ES216" s="97"/>
      <c r="ET216" s="97"/>
      <c r="EU216" s="97"/>
      <c r="EV216" s="97"/>
      <c r="EW216" s="97"/>
      <c r="EX216" s="97"/>
      <c r="EY216" s="97"/>
      <c r="EZ216" s="97"/>
      <c r="FA216" s="97"/>
      <c r="FB216" s="97"/>
      <c r="FC216" s="97"/>
      <c r="FD216" s="97"/>
      <c r="FE216" s="97"/>
      <c r="FF216" s="97"/>
      <c r="FG216" s="97"/>
      <c r="FH216" s="97"/>
      <c r="FI216" s="97"/>
      <c r="FJ216" s="97"/>
      <c r="FK216" s="97"/>
      <c r="FL216" s="97"/>
      <c r="FM216" s="97"/>
      <c r="FN216" s="97"/>
      <c r="FO216" s="97"/>
      <c r="FP216" s="97"/>
      <c r="FQ216" s="97"/>
      <c r="FR216" s="97"/>
      <c r="FS216" s="97"/>
      <c r="FT216" s="97"/>
      <c r="FU216" s="97"/>
    </row>
    <row r="217" spans="10:177" s="1" customFormat="1" ht="15.75">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97"/>
      <c r="DJ217" s="97"/>
      <c r="DK217" s="97"/>
      <c r="DL217" s="97"/>
      <c r="DM217" s="97"/>
      <c r="DN217" s="97"/>
      <c r="DO217" s="97"/>
      <c r="DP217" s="97"/>
      <c r="DQ217" s="97"/>
      <c r="DR217" s="97"/>
      <c r="DS217" s="97"/>
      <c r="DT217" s="97"/>
      <c r="DU217" s="97"/>
      <c r="DV217" s="97"/>
      <c r="DW217" s="97"/>
      <c r="DX217" s="97"/>
      <c r="DY217" s="97"/>
      <c r="DZ217" s="97"/>
      <c r="EA217" s="97"/>
      <c r="EB217" s="97"/>
      <c r="EC217" s="97"/>
      <c r="ED217" s="97"/>
      <c r="EE217" s="97"/>
      <c r="EF217" s="97"/>
      <c r="EG217" s="97"/>
      <c r="EH217" s="97"/>
      <c r="EI217" s="97"/>
      <c r="EJ217" s="97"/>
      <c r="EK217" s="97"/>
      <c r="EL217" s="97"/>
      <c r="EM217" s="97"/>
      <c r="EN217" s="97"/>
      <c r="EO217" s="97"/>
      <c r="EP217" s="97"/>
      <c r="EQ217" s="97"/>
      <c r="ER217" s="97"/>
      <c r="ES217" s="97"/>
      <c r="ET217" s="97"/>
      <c r="EU217" s="97"/>
      <c r="EV217" s="97"/>
      <c r="EW217" s="97"/>
      <c r="EX217" s="97"/>
      <c r="EY217" s="97"/>
      <c r="EZ217" s="97"/>
      <c r="FA217" s="97"/>
      <c r="FB217" s="97"/>
      <c r="FC217" s="97"/>
      <c r="FD217" s="97"/>
      <c r="FE217" s="97"/>
      <c r="FF217" s="97"/>
      <c r="FG217" s="97"/>
      <c r="FH217" s="97"/>
      <c r="FI217" s="97"/>
      <c r="FJ217" s="97"/>
      <c r="FK217" s="97"/>
      <c r="FL217" s="97"/>
      <c r="FM217" s="97"/>
      <c r="FN217" s="97"/>
      <c r="FO217" s="97"/>
      <c r="FP217" s="97"/>
      <c r="FQ217" s="97"/>
      <c r="FR217" s="97"/>
      <c r="FS217" s="97"/>
      <c r="FT217" s="97"/>
      <c r="FU217" s="97"/>
    </row>
    <row r="218" spans="10:177" s="1" customFormat="1" ht="15.75">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c r="DQ218" s="97"/>
      <c r="DR218" s="97"/>
      <c r="DS218" s="97"/>
      <c r="DT218" s="97"/>
      <c r="DU218" s="97"/>
      <c r="DV218" s="97"/>
      <c r="DW218" s="97"/>
      <c r="DX218" s="97"/>
      <c r="DY218" s="97"/>
      <c r="DZ218" s="97"/>
      <c r="EA218" s="97"/>
      <c r="EB218" s="97"/>
      <c r="EC218" s="97"/>
      <c r="ED218" s="97"/>
      <c r="EE218" s="97"/>
      <c r="EF218" s="97"/>
      <c r="EG218" s="97"/>
      <c r="EH218" s="97"/>
      <c r="EI218" s="97"/>
      <c r="EJ218" s="97"/>
      <c r="EK218" s="97"/>
      <c r="EL218" s="97"/>
      <c r="EM218" s="97"/>
      <c r="EN218" s="97"/>
      <c r="EO218" s="97"/>
      <c r="EP218" s="97"/>
      <c r="EQ218" s="97"/>
      <c r="ER218" s="97"/>
      <c r="ES218" s="97"/>
      <c r="ET218" s="97"/>
      <c r="EU218" s="97"/>
      <c r="EV218" s="97"/>
      <c r="EW218" s="97"/>
      <c r="EX218" s="97"/>
      <c r="EY218" s="97"/>
      <c r="EZ218" s="97"/>
      <c r="FA218" s="97"/>
      <c r="FB218" s="97"/>
      <c r="FC218" s="97"/>
      <c r="FD218" s="97"/>
      <c r="FE218" s="97"/>
      <c r="FF218" s="97"/>
      <c r="FG218" s="97"/>
      <c r="FH218" s="97"/>
      <c r="FI218" s="97"/>
      <c r="FJ218" s="97"/>
      <c r="FK218" s="97"/>
      <c r="FL218" s="97"/>
      <c r="FM218" s="97"/>
      <c r="FN218" s="97"/>
      <c r="FO218" s="97"/>
      <c r="FP218" s="97"/>
      <c r="FQ218" s="97"/>
      <c r="FR218" s="97"/>
      <c r="FS218" s="97"/>
      <c r="FT218" s="97"/>
      <c r="FU218" s="97"/>
    </row>
    <row r="219" spans="10:177" s="1" customFormat="1" ht="15.75">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c r="DQ219" s="97"/>
      <c r="DR219" s="97"/>
      <c r="DS219" s="97"/>
      <c r="DT219" s="97"/>
      <c r="DU219" s="97"/>
      <c r="DV219" s="97"/>
      <c r="DW219" s="97"/>
      <c r="DX219" s="97"/>
      <c r="DY219" s="97"/>
      <c r="DZ219" s="97"/>
      <c r="EA219" s="97"/>
      <c r="EB219" s="97"/>
      <c r="EC219" s="97"/>
      <c r="ED219" s="97"/>
      <c r="EE219" s="97"/>
      <c r="EF219" s="97"/>
      <c r="EG219" s="97"/>
      <c r="EH219" s="97"/>
      <c r="EI219" s="97"/>
      <c r="EJ219" s="97"/>
      <c r="EK219" s="97"/>
      <c r="EL219" s="97"/>
      <c r="EM219" s="97"/>
      <c r="EN219" s="97"/>
      <c r="EO219" s="97"/>
      <c r="EP219" s="97"/>
      <c r="EQ219" s="97"/>
      <c r="ER219" s="97"/>
      <c r="ES219" s="97"/>
      <c r="ET219" s="97"/>
      <c r="EU219" s="97"/>
      <c r="EV219" s="97"/>
      <c r="EW219" s="97"/>
      <c r="EX219" s="97"/>
      <c r="EY219" s="97"/>
      <c r="EZ219" s="97"/>
      <c r="FA219" s="97"/>
      <c r="FB219" s="97"/>
      <c r="FC219" s="97"/>
      <c r="FD219" s="97"/>
      <c r="FE219" s="97"/>
      <c r="FF219" s="97"/>
      <c r="FG219" s="97"/>
      <c r="FH219" s="97"/>
      <c r="FI219" s="97"/>
      <c r="FJ219" s="97"/>
      <c r="FK219" s="97"/>
      <c r="FL219" s="97"/>
      <c r="FM219" s="97"/>
      <c r="FN219" s="97"/>
      <c r="FO219" s="97"/>
      <c r="FP219" s="97"/>
      <c r="FQ219" s="97"/>
      <c r="FR219" s="97"/>
      <c r="FS219" s="97"/>
      <c r="FT219" s="97"/>
      <c r="FU219" s="97"/>
    </row>
    <row r="220" spans="10:177" s="1" customFormat="1" ht="15.75">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c r="CY220" s="97"/>
      <c r="CZ220" s="97"/>
      <c r="DA220" s="97"/>
      <c r="DB220" s="97"/>
      <c r="DC220" s="97"/>
      <c r="DD220" s="97"/>
      <c r="DE220" s="97"/>
      <c r="DF220" s="97"/>
      <c r="DG220" s="97"/>
      <c r="DH220" s="97"/>
      <c r="DI220" s="97"/>
      <c r="DJ220" s="97"/>
      <c r="DK220" s="97"/>
      <c r="DL220" s="97"/>
      <c r="DM220" s="97"/>
      <c r="DN220" s="97"/>
      <c r="DO220" s="97"/>
      <c r="DP220" s="97"/>
      <c r="DQ220" s="97"/>
      <c r="DR220" s="97"/>
      <c r="DS220" s="97"/>
      <c r="DT220" s="97"/>
      <c r="DU220" s="97"/>
      <c r="DV220" s="97"/>
      <c r="DW220" s="97"/>
      <c r="DX220" s="97"/>
      <c r="DY220" s="97"/>
      <c r="DZ220" s="97"/>
      <c r="EA220" s="97"/>
      <c r="EB220" s="97"/>
      <c r="EC220" s="97"/>
      <c r="ED220" s="97"/>
      <c r="EE220" s="97"/>
      <c r="EF220" s="97"/>
      <c r="EG220" s="97"/>
      <c r="EH220" s="97"/>
      <c r="EI220" s="97"/>
      <c r="EJ220" s="97"/>
      <c r="EK220" s="97"/>
      <c r="EL220" s="97"/>
      <c r="EM220" s="97"/>
      <c r="EN220" s="97"/>
      <c r="EO220" s="97"/>
      <c r="EP220" s="97"/>
      <c r="EQ220" s="97"/>
      <c r="ER220" s="97"/>
      <c r="ES220" s="97"/>
      <c r="ET220" s="97"/>
      <c r="EU220" s="97"/>
      <c r="EV220" s="97"/>
      <c r="EW220" s="97"/>
      <c r="EX220" s="97"/>
      <c r="EY220" s="97"/>
      <c r="EZ220" s="97"/>
      <c r="FA220" s="97"/>
      <c r="FB220" s="97"/>
      <c r="FC220" s="97"/>
      <c r="FD220" s="97"/>
      <c r="FE220" s="97"/>
      <c r="FF220" s="97"/>
      <c r="FG220" s="97"/>
      <c r="FH220" s="97"/>
      <c r="FI220" s="97"/>
      <c r="FJ220" s="97"/>
      <c r="FK220" s="97"/>
      <c r="FL220" s="97"/>
      <c r="FM220" s="97"/>
      <c r="FN220" s="97"/>
      <c r="FO220" s="97"/>
      <c r="FP220" s="97"/>
      <c r="FQ220" s="97"/>
      <c r="FR220" s="97"/>
      <c r="FS220" s="97"/>
      <c r="FT220" s="97"/>
      <c r="FU220" s="97"/>
    </row>
    <row r="221" spans="10:177" s="1" customFormat="1" ht="15.75">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c r="EC221" s="97"/>
      <c r="ED221" s="97"/>
      <c r="EE221" s="97"/>
      <c r="EF221" s="97"/>
      <c r="EG221" s="97"/>
      <c r="EH221" s="97"/>
      <c r="EI221" s="97"/>
      <c r="EJ221" s="97"/>
      <c r="EK221" s="97"/>
      <c r="EL221" s="97"/>
      <c r="EM221" s="97"/>
      <c r="EN221" s="97"/>
      <c r="EO221" s="97"/>
      <c r="EP221" s="97"/>
      <c r="EQ221" s="97"/>
      <c r="ER221" s="97"/>
      <c r="ES221" s="97"/>
      <c r="ET221" s="97"/>
      <c r="EU221" s="97"/>
      <c r="EV221" s="97"/>
      <c r="EW221" s="97"/>
      <c r="EX221" s="97"/>
      <c r="EY221" s="97"/>
      <c r="EZ221" s="97"/>
      <c r="FA221" s="97"/>
      <c r="FB221" s="97"/>
      <c r="FC221" s="97"/>
      <c r="FD221" s="97"/>
      <c r="FE221" s="97"/>
      <c r="FF221" s="97"/>
      <c r="FG221" s="97"/>
      <c r="FH221" s="97"/>
      <c r="FI221" s="97"/>
      <c r="FJ221" s="97"/>
      <c r="FK221" s="97"/>
      <c r="FL221" s="97"/>
      <c r="FM221" s="97"/>
      <c r="FN221" s="97"/>
      <c r="FO221" s="97"/>
      <c r="FP221" s="97"/>
      <c r="FQ221" s="97"/>
      <c r="FR221" s="97"/>
      <c r="FS221" s="97"/>
      <c r="FT221" s="97"/>
      <c r="FU221" s="97"/>
    </row>
    <row r="222" spans="10:177" s="1" customFormat="1" ht="15.75">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c r="DQ222" s="97"/>
      <c r="DR222" s="97"/>
      <c r="DS222" s="97"/>
      <c r="DT222" s="97"/>
      <c r="DU222" s="97"/>
      <c r="DV222" s="97"/>
      <c r="DW222" s="97"/>
      <c r="DX222" s="97"/>
      <c r="DY222" s="97"/>
      <c r="DZ222" s="97"/>
      <c r="EA222" s="97"/>
      <c r="EB222" s="97"/>
      <c r="EC222" s="97"/>
      <c r="ED222" s="97"/>
      <c r="EE222" s="97"/>
      <c r="EF222" s="97"/>
      <c r="EG222" s="97"/>
      <c r="EH222" s="97"/>
      <c r="EI222" s="97"/>
      <c r="EJ222" s="97"/>
      <c r="EK222" s="97"/>
      <c r="EL222" s="97"/>
      <c r="EM222" s="97"/>
      <c r="EN222" s="97"/>
      <c r="EO222" s="97"/>
      <c r="EP222" s="97"/>
      <c r="EQ222" s="97"/>
      <c r="ER222" s="97"/>
      <c r="ES222" s="97"/>
      <c r="ET222" s="97"/>
      <c r="EU222" s="97"/>
      <c r="EV222" s="97"/>
      <c r="EW222" s="97"/>
      <c r="EX222" s="97"/>
      <c r="EY222" s="97"/>
      <c r="EZ222" s="97"/>
      <c r="FA222" s="97"/>
      <c r="FB222" s="97"/>
      <c r="FC222" s="97"/>
      <c r="FD222" s="97"/>
      <c r="FE222" s="97"/>
      <c r="FF222" s="97"/>
      <c r="FG222" s="97"/>
      <c r="FH222" s="97"/>
      <c r="FI222" s="97"/>
      <c r="FJ222" s="97"/>
      <c r="FK222" s="97"/>
      <c r="FL222" s="97"/>
      <c r="FM222" s="97"/>
      <c r="FN222" s="97"/>
      <c r="FO222" s="97"/>
      <c r="FP222" s="97"/>
      <c r="FQ222" s="97"/>
      <c r="FR222" s="97"/>
      <c r="FS222" s="97"/>
      <c r="FT222" s="97"/>
      <c r="FU222" s="97"/>
    </row>
    <row r="223" spans="10:177" s="1" customFormat="1" ht="15.75">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c r="DQ223" s="97"/>
      <c r="DR223" s="97"/>
      <c r="DS223" s="97"/>
      <c r="DT223" s="97"/>
      <c r="DU223" s="97"/>
      <c r="DV223" s="97"/>
      <c r="DW223" s="97"/>
      <c r="DX223" s="97"/>
      <c r="DY223" s="97"/>
      <c r="DZ223" s="97"/>
      <c r="EA223" s="97"/>
      <c r="EB223" s="97"/>
      <c r="EC223" s="97"/>
      <c r="ED223" s="97"/>
      <c r="EE223" s="97"/>
      <c r="EF223" s="97"/>
      <c r="EG223" s="97"/>
      <c r="EH223" s="97"/>
      <c r="EI223" s="97"/>
      <c r="EJ223" s="97"/>
      <c r="EK223" s="97"/>
      <c r="EL223" s="97"/>
      <c r="EM223" s="97"/>
      <c r="EN223" s="97"/>
      <c r="EO223" s="97"/>
      <c r="EP223" s="97"/>
      <c r="EQ223" s="97"/>
      <c r="ER223" s="97"/>
      <c r="ES223" s="97"/>
      <c r="ET223" s="97"/>
      <c r="EU223" s="97"/>
      <c r="EV223" s="97"/>
      <c r="EW223" s="97"/>
      <c r="EX223" s="97"/>
      <c r="EY223" s="97"/>
      <c r="EZ223" s="97"/>
      <c r="FA223" s="97"/>
      <c r="FB223" s="97"/>
      <c r="FC223" s="97"/>
      <c r="FD223" s="97"/>
      <c r="FE223" s="97"/>
      <c r="FF223" s="97"/>
      <c r="FG223" s="97"/>
      <c r="FH223" s="97"/>
      <c r="FI223" s="97"/>
      <c r="FJ223" s="97"/>
      <c r="FK223" s="97"/>
      <c r="FL223" s="97"/>
      <c r="FM223" s="97"/>
      <c r="FN223" s="97"/>
      <c r="FO223" s="97"/>
      <c r="FP223" s="97"/>
      <c r="FQ223" s="97"/>
      <c r="FR223" s="97"/>
      <c r="FS223" s="97"/>
      <c r="FT223" s="97"/>
      <c r="FU223" s="97"/>
    </row>
    <row r="224" spans="10:177" s="1" customFormat="1" ht="15.75">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c r="DW224" s="97"/>
      <c r="DX224" s="97"/>
      <c r="DY224" s="97"/>
      <c r="DZ224" s="97"/>
      <c r="EA224" s="97"/>
      <c r="EB224" s="97"/>
      <c r="EC224" s="97"/>
      <c r="ED224" s="97"/>
      <c r="EE224" s="97"/>
      <c r="EF224" s="97"/>
      <c r="EG224" s="97"/>
      <c r="EH224" s="97"/>
      <c r="EI224" s="97"/>
      <c r="EJ224" s="97"/>
      <c r="EK224" s="97"/>
      <c r="EL224" s="97"/>
      <c r="EM224" s="97"/>
      <c r="EN224" s="97"/>
      <c r="EO224" s="97"/>
      <c r="EP224" s="97"/>
      <c r="EQ224" s="97"/>
      <c r="ER224" s="97"/>
      <c r="ES224" s="97"/>
      <c r="ET224" s="97"/>
      <c r="EU224" s="97"/>
      <c r="EV224" s="97"/>
      <c r="EW224" s="97"/>
      <c r="EX224" s="97"/>
      <c r="EY224" s="97"/>
      <c r="EZ224" s="97"/>
      <c r="FA224" s="97"/>
      <c r="FB224" s="97"/>
      <c r="FC224" s="97"/>
      <c r="FD224" s="97"/>
      <c r="FE224" s="97"/>
      <c r="FF224" s="97"/>
      <c r="FG224" s="97"/>
      <c r="FH224" s="97"/>
      <c r="FI224" s="97"/>
      <c r="FJ224" s="97"/>
      <c r="FK224" s="97"/>
      <c r="FL224" s="97"/>
      <c r="FM224" s="97"/>
      <c r="FN224" s="97"/>
      <c r="FO224" s="97"/>
      <c r="FP224" s="97"/>
      <c r="FQ224" s="97"/>
      <c r="FR224" s="97"/>
      <c r="FS224" s="97"/>
      <c r="FT224" s="97"/>
      <c r="FU224" s="97"/>
    </row>
    <row r="225" spans="10:177" s="1" customFormat="1" ht="15.75">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c r="DQ225" s="97"/>
      <c r="DR225" s="97"/>
      <c r="DS225" s="97"/>
      <c r="DT225" s="97"/>
      <c r="DU225" s="97"/>
      <c r="DV225" s="97"/>
      <c r="DW225" s="97"/>
      <c r="DX225" s="97"/>
      <c r="DY225" s="97"/>
      <c r="DZ225" s="97"/>
      <c r="EA225" s="97"/>
      <c r="EB225" s="97"/>
      <c r="EC225" s="97"/>
      <c r="ED225" s="97"/>
      <c r="EE225" s="97"/>
      <c r="EF225" s="97"/>
      <c r="EG225" s="97"/>
      <c r="EH225" s="97"/>
      <c r="EI225" s="97"/>
      <c r="EJ225" s="97"/>
      <c r="EK225" s="97"/>
      <c r="EL225" s="97"/>
      <c r="EM225" s="97"/>
      <c r="EN225" s="97"/>
      <c r="EO225" s="97"/>
      <c r="EP225" s="97"/>
      <c r="EQ225" s="97"/>
      <c r="ER225" s="97"/>
      <c r="ES225" s="97"/>
      <c r="ET225" s="97"/>
      <c r="EU225" s="97"/>
      <c r="EV225" s="97"/>
      <c r="EW225" s="97"/>
      <c r="EX225" s="97"/>
      <c r="EY225" s="97"/>
      <c r="EZ225" s="97"/>
      <c r="FA225" s="97"/>
      <c r="FB225" s="97"/>
      <c r="FC225" s="97"/>
      <c r="FD225" s="97"/>
      <c r="FE225" s="97"/>
      <c r="FF225" s="97"/>
      <c r="FG225" s="97"/>
      <c r="FH225" s="97"/>
      <c r="FI225" s="97"/>
      <c r="FJ225" s="97"/>
      <c r="FK225" s="97"/>
      <c r="FL225" s="97"/>
      <c r="FM225" s="97"/>
      <c r="FN225" s="97"/>
      <c r="FO225" s="97"/>
      <c r="FP225" s="97"/>
      <c r="FQ225" s="97"/>
      <c r="FR225" s="97"/>
      <c r="FS225" s="97"/>
      <c r="FT225" s="97"/>
      <c r="FU225" s="97"/>
    </row>
    <row r="226" spans="10:177" s="1" customFormat="1" ht="15.75">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c r="DQ226" s="97"/>
      <c r="DR226" s="97"/>
      <c r="DS226" s="97"/>
      <c r="DT226" s="97"/>
      <c r="DU226" s="97"/>
      <c r="DV226" s="97"/>
      <c r="DW226" s="97"/>
      <c r="DX226" s="97"/>
      <c r="DY226" s="97"/>
      <c r="DZ226" s="97"/>
      <c r="EA226" s="97"/>
      <c r="EB226" s="97"/>
      <c r="EC226" s="97"/>
      <c r="ED226" s="97"/>
      <c r="EE226" s="97"/>
      <c r="EF226" s="97"/>
      <c r="EG226" s="97"/>
      <c r="EH226" s="97"/>
      <c r="EI226" s="97"/>
      <c r="EJ226" s="97"/>
      <c r="EK226" s="97"/>
      <c r="EL226" s="97"/>
      <c r="EM226" s="97"/>
      <c r="EN226" s="97"/>
      <c r="EO226" s="97"/>
      <c r="EP226" s="97"/>
      <c r="EQ226" s="97"/>
      <c r="ER226" s="97"/>
      <c r="ES226" s="97"/>
      <c r="ET226" s="97"/>
      <c r="EU226" s="97"/>
      <c r="EV226" s="97"/>
      <c r="EW226" s="97"/>
      <c r="EX226" s="97"/>
      <c r="EY226" s="97"/>
      <c r="EZ226" s="97"/>
      <c r="FA226" s="97"/>
      <c r="FB226" s="97"/>
      <c r="FC226" s="97"/>
      <c r="FD226" s="97"/>
      <c r="FE226" s="97"/>
      <c r="FF226" s="97"/>
      <c r="FG226" s="97"/>
      <c r="FH226" s="97"/>
      <c r="FI226" s="97"/>
      <c r="FJ226" s="97"/>
      <c r="FK226" s="97"/>
      <c r="FL226" s="97"/>
      <c r="FM226" s="97"/>
      <c r="FN226" s="97"/>
      <c r="FO226" s="97"/>
      <c r="FP226" s="97"/>
      <c r="FQ226" s="97"/>
      <c r="FR226" s="97"/>
      <c r="FS226" s="97"/>
      <c r="FT226" s="97"/>
      <c r="FU226" s="97"/>
    </row>
    <row r="227" spans="10:177" s="1" customFormat="1" ht="15.75">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c r="CZ227" s="97"/>
      <c r="DA227" s="97"/>
      <c r="DB227" s="97"/>
      <c r="DC227" s="97"/>
      <c r="DD227" s="97"/>
      <c r="DE227" s="97"/>
      <c r="DF227" s="97"/>
      <c r="DG227" s="97"/>
      <c r="DH227" s="97"/>
      <c r="DI227" s="97"/>
      <c r="DJ227" s="97"/>
      <c r="DK227" s="97"/>
      <c r="DL227" s="97"/>
      <c r="DM227" s="97"/>
      <c r="DN227" s="97"/>
      <c r="DO227" s="97"/>
      <c r="DP227" s="97"/>
      <c r="DQ227" s="97"/>
      <c r="DR227" s="97"/>
      <c r="DS227" s="97"/>
      <c r="DT227" s="97"/>
      <c r="DU227" s="97"/>
      <c r="DV227" s="97"/>
      <c r="DW227" s="97"/>
      <c r="DX227" s="97"/>
      <c r="DY227" s="97"/>
      <c r="DZ227" s="97"/>
      <c r="EA227" s="97"/>
      <c r="EB227" s="97"/>
      <c r="EC227" s="97"/>
      <c r="ED227" s="97"/>
      <c r="EE227" s="97"/>
      <c r="EF227" s="97"/>
      <c r="EG227" s="97"/>
      <c r="EH227" s="97"/>
      <c r="EI227" s="97"/>
      <c r="EJ227" s="97"/>
      <c r="EK227" s="97"/>
      <c r="EL227" s="97"/>
      <c r="EM227" s="97"/>
      <c r="EN227" s="97"/>
      <c r="EO227" s="97"/>
      <c r="EP227" s="97"/>
      <c r="EQ227" s="97"/>
      <c r="ER227" s="97"/>
      <c r="ES227" s="97"/>
      <c r="ET227" s="97"/>
      <c r="EU227" s="97"/>
      <c r="EV227" s="97"/>
      <c r="EW227" s="97"/>
      <c r="EX227" s="97"/>
      <c r="EY227" s="97"/>
      <c r="EZ227" s="97"/>
      <c r="FA227" s="97"/>
      <c r="FB227" s="97"/>
      <c r="FC227" s="97"/>
      <c r="FD227" s="97"/>
      <c r="FE227" s="97"/>
      <c r="FF227" s="97"/>
      <c r="FG227" s="97"/>
      <c r="FH227" s="97"/>
      <c r="FI227" s="97"/>
      <c r="FJ227" s="97"/>
      <c r="FK227" s="97"/>
      <c r="FL227" s="97"/>
      <c r="FM227" s="97"/>
      <c r="FN227" s="97"/>
      <c r="FO227" s="97"/>
      <c r="FP227" s="97"/>
      <c r="FQ227" s="97"/>
      <c r="FR227" s="97"/>
      <c r="FS227" s="97"/>
      <c r="FT227" s="97"/>
      <c r="FU227" s="97"/>
    </row>
    <row r="228" spans="10:177" s="1" customFormat="1" ht="15.75">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c r="DW228" s="97"/>
      <c r="DX228" s="97"/>
      <c r="DY228" s="97"/>
      <c r="DZ228" s="97"/>
      <c r="EA228" s="97"/>
      <c r="EB228" s="97"/>
      <c r="EC228" s="97"/>
      <c r="ED228" s="97"/>
      <c r="EE228" s="97"/>
      <c r="EF228" s="97"/>
      <c r="EG228" s="97"/>
      <c r="EH228" s="97"/>
      <c r="EI228" s="97"/>
      <c r="EJ228" s="97"/>
      <c r="EK228" s="97"/>
      <c r="EL228" s="97"/>
      <c r="EM228" s="97"/>
      <c r="EN228" s="97"/>
      <c r="EO228" s="97"/>
      <c r="EP228" s="97"/>
      <c r="EQ228" s="97"/>
      <c r="ER228" s="97"/>
      <c r="ES228" s="97"/>
      <c r="ET228" s="97"/>
      <c r="EU228" s="97"/>
      <c r="EV228" s="97"/>
      <c r="EW228" s="97"/>
      <c r="EX228" s="97"/>
      <c r="EY228" s="97"/>
      <c r="EZ228" s="97"/>
      <c r="FA228" s="97"/>
      <c r="FB228" s="97"/>
      <c r="FC228" s="97"/>
      <c r="FD228" s="97"/>
      <c r="FE228" s="97"/>
      <c r="FF228" s="97"/>
      <c r="FG228" s="97"/>
      <c r="FH228" s="97"/>
      <c r="FI228" s="97"/>
      <c r="FJ228" s="97"/>
      <c r="FK228" s="97"/>
      <c r="FL228" s="97"/>
      <c r="FM228" s="97"/>
      <c r="FN228" s="97"/>
      <c r="FO228" s="97"/>
      <c r="FP228" s="97"/>
      <c r="FQ228" s="97"/>
      <c r="FR228" s="97"/>
      <c r="FS228" s="97"/>
      <c r="FT228" s="97"/>
      <c r="FU228" s="97"/>
    </row>
    <row r="229" spans="10:177" s="1" customFormat="1" ht="15.75">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c r="CZ229" s="97"/>
      <c r="DA229" s="97"/>
      <c r="DB229" s="97"/>
      <c r="DC229" s="97"/>
      <c r="DD229" s="97"/>
      <c r="DE229" s="97"/>
      <c r="DF229" s="97"/>
      <c r="DG229" s="97"/>
      <c r="DH229" s="97"/>
      <c r="DI229" s="97"/>
      <c r="DJ229" s="97"/>
      <c r="DK229" s="97"/>
      <c r="DL229" s="97"/>
      <c r="DM229" s="97"/>
      <c r="DN229" s="97"/>
      <c r="DO229" s="97"/>
      <c r="DP229" s="97"/>
      <c r="DQ229" s="97"/>
      <c r="DR229" s="97"/>
      <c r="DS229" s="97"/>
      <c r="DT229" s="97"/>
      <c r="DU229" s="97"/>
      <c r="DV229" s="97"/>
      <c r="DW229" s="97"/>
      <c r="DX229" s="97"/>
      <c r="DY229" s="97"/>
      <c r="DZ229" s="97"/>
      <c r="EA229" s="97"/>
      <c r="EB229" s="97"/>
      <c r="EC229" s="97"/>
      <c r="ED229" s="97"/>
      <c r="EE229" s="97"/>
      <c r="EF229" s="97"/>
      <c r="EG229" s="97"/>
      <c r="EH229" s="97"/>
      <c r="EI229" s="97"/>
      <c r="EJ229" s="97"/>
      <c r="EK229" s="97"/>
      <c r="EL229" s="97"/>
      <c r="EM229" s="97"/>
      <c r="EN229" s="97"/>
      <c r="EO229" s="97"/>
      <c r="EP229" s="97"/>
      <c r="EQ229" s="97"/>
      <c r="ER229" s="97"/>
      <c r="ES229" s="97"/>
      <c r="ET229" s="97"/>
      <c r="EU229" s="97"/>
      <c r="EV229" s="97"/>
      <c r="EW229" s="97"/>
      <c r="EX229" s="97"/>
      <c r="EY229" s="97"/>
      <c r="EZ229" s="97"/>
      <c r="FA229" s="97"/>
      <c r="FB229" s="97"/>
      <c r="FC229" s="97"/>
      <c r="FD229" s="97"/>
      <c r="FE229" s="97"/>
      <c r="FF229" s="97"/>
      <c r="FG229" s="97"/>
      <c r="FH229" s="97"/>
      <c r="FI229" s="97"/>
      <c r="FJ229" s="97"/>
      <c r="FK229" s="97"/>
      <c r="FL229" s="97"/>
      <c r="FM229" s="97"/>
      <c r="FN229" s="97"/>
      <c r="FO229" s="97"/>
      <c r="FP229" s="97"/>
      <c r="FQ229" s="97"/>
      <c r="FR229" s="97"/>
      <c r="FS229" s="97"/>
      <c r="FT229" s="97"/>
      <c r="FU229" s="97"/>
    </row>
    <row r="230" spans="10:177" s="1" customFormat="1" ht="15.75">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97"/>
      <c r="DJ230" s="97"/>
      <c r="DK230" s="97"/>
      <c r="DL230" s="97"/>
      <c r="DM230" s="97"/>
      <c r="DN230" s="97"/>
      <c r="DO230" s="97"/>
      <c r="DP230" s="97"/>
      <c r="DQ230" s="97"/>
      <c r="DR230" s="97"/>
      <c r="DS230" s="97"/>
      <c r="DT230" s="97"/>
      <c r="DU230" s="97"/>
      <c r="DV230" s="97"/>
      <c r="DW230" s="97"/>
      <c r="DX230" s="97"/>
      <c r="DY230" s="97"/>
      <c r="DZ230" s="97"/>
      <c r="EA230" s="97"/>
      <c r="EB230" s="97"/>
      <c r="EC230" s="97"/>
      <c r="ED230" s="97"/>
      <c r="EE230" s="97"/>
      <c r="EF230" s="97"/>
      <c r="EG230" s="97"/>
      <c r="EH230" s="97"/>
      <c r="EI230" s="97"/>
      <c r="EJ230" s="97"/>
      <c r="EK230" s="97"/>
      <c r="EL230" s="97"/>
      <c r="EM230" s="97"/>
      <c r="EN230" s="97"/>
      <c r="EO230" s="97"/>
      <c r="EP230" s="97"/>
      <c r="EQ230" s="97"/>
      <c r="ER230" s="97"/>
      <c r="ES230" s="97"/>
      <c r="ET230" s="97"/>
      <c r="EU230" s="97"/>
      <c r="EV230" s="97"/>
      <c r="EW230" s="97"/>
      <c r="EX230" s="97"/>
      <c r="EY230" s="97"/>
      <c r="EZ230" s="97"/>
      <c r="FA230" s="97"/>
      <c r="FB230" s="97"/>
      <c r="FC230" s="97"/>
      <c r="FD230" s="97"/>
      <c r="FE230" s="97"/>
      <c r="FF230" s="97"/>
      <c r="FG230" s="97"/>
      <c r="FH230" s="97"/>
      <c r="FI230" s="97"/>
      <c r="FJ230" s="97"/>
      <c r="FK230" s="97"/>
      <c r="FL230" s="97"/>
      <c r="FM230" s="97"/>
      <c r="FN230" s="97"/>
      <c r="FO230" s="97"/>
      <c r="FP230" s="97"/>
      <c r="FQ230" s="97"/>
      <c r="FR230" s="97"/>
      <c r="FS230" s="97"/>
      <c r="FT230" s="97"/>
      <c r="FU230" s="97"/>
    </row>
    <row r="231" spans="10:177" s="1" customFormat="1" ht="15.75">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c r="CZ231" s="97"/>
      <c r="DA231" s="97"/>
      <c r="DB231" s="97"/>
      <c r="DC231" s="97"/>
      <c r="DD231" s="97"/>
      <c r="DE231" s="97"/>
      <c r="DF231" s="97"/>
      <c r="DG231" s="97"/>
      <c r="DH231" s="97"/>
      <c r="DI231" s="97"/>
      <c r="DJ231" s="97"/>
      <c r="DK231" s="97"/>
      <c r="DL231" s="97"/>
      <c r="DM231" s="97"/>
      <c r="DN231" s="97"/>
      <c r="DO231" s="97"/>
      <c r="DP231" s="97"/>
      <c r="DQ231" s="97"/>
      <c r="DR231" s="97"/>
      <c r="DS231" s="97"/>
      <c r="DT231" s="97"/>
      <c r="DU231" s="97"/>
      <c r="DV231" s="97"/>
      <c r="DW231" s="97"/>
      <c r="DX231" s="97"/>
      <c r="DY231" s="97"/>
      <c r="DZ231" s="97"/>
      <c r="EA231" s="97"/>
      <c r="EB231" s="97"/>
      <c r="EC231" s="97"/>
      <c r="ED231" s="97"/>
      <c r="EE231" s="97"/>
      <c r="EF231" s="97"/>
      <c r="EG231" s="97"/>
      <c r="EH231" s="97"/>
      <c r="EI231" s="97"/>
      <c r="EJ231" s="97"/>
      <c r="EK231" s="97"/>
      <c r="EL231" s="97"/>
      <c r="EM231" s="97"/>
      <c r="EN231" s="97"/>
      <c r="EO231" s="97"/>
      <c r="EP231" s="97"/>
      <c r="EQ231" s="97"/>
      <c r="ER231" s="97"/>
      <c r="ES231" s="97"/>
      <c r="ET231" s="97"/>
      <c r="EU231" s="97"/>
      <c r="EV231" s="97"/>
      <c r="EW231" s="97"/>
      <c r="EX231" s="97"/>
      <c r="EY231" s="97"/>
      <c r="EZ231" s="97"/>
      <c r="FA231" s="97"/>
      <c r="FB231" s="97"/>
      <c r="FC231" s="97"/>
      <c r="FD231" s="97"/>
      <c r="FE231" s="97"/>
      <c r="FF231" s="97"/>
      <c r="FG231" s="97"/>
      <c r="FH231" s="97"/>
      <c r="FI231" s="97"/>
      <c r="FJ231" s="97"/>
      <c r="FK231" s="97"/>
      <c r="FL231" s="97"/>
      <c r="FM231" s="97"/>
      <c r="FN231" s="97"/>
      <c r="FO231" s="97"/>
      <c r="FP231" s="97"/>
      <c r="FQ231" s="97"/>
      <c r="FR231" s="97"/>
      <c r="FS231" s="97"/>
      <c r="FT231" s="97"/>
      <c r="FU231" s="97"/>
    </row>
    <row r="232" spans="10:177" s="1" customFormat="1" ht="15.75">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c r="DJ232" s="97"/>
      <c r="DK232" s="97"/>
      <c r="DL232" s="97"/>
      <c r="DM232" s="97"/>
      <c r="DN232" s="97"/>
      <c r="DO232" s="97"/>
      <c r="DP232" s="97"/>
      <c r="DQ232" s="97"/>
      <c r="DR232" s="97"/>
      <c r="DS232" s="97"/>
      <c r="DT232" s="97"/>
      <c r="DU232" s="97"/>
      <c r="DV232" s="97"/>
      <c r="DW232" s="97"/>
      <c r="DX232" s="97"/>
      <c r="DY232" s="97"/>
      <c r="DZ232" s="97"/>
      <c r="EA232" s="97"/>
      <c r="EB232" s="97"/>
      <c r="EC232" s="97"/>
      <c r="ED232" s="97"/>
      <c r="EE232" s="97"/>
      <c r="EF232" s="97"/>
      <c r="EG232" s="97"/>
      <c r="EH232" s="97"/>
      <c r="EI232" s="97"/>
      <c r="EJ232" s="97"/>
      <c r="EK232" s="97"/>
      <c r="EL232" s="97"/>
      <c r="EM232" s="97"/>
      <c r="EN232" s="97"/>
      <c r="EO232" s="97"/>
      <c r="EP232" s="97"/>
      <c r="EQ232" s="97"/>
      <c r="ER232" s="97"/>
      <c r="ES232" s="97"/>
      <c r="ET232" s="97"/>
      <c r="EU232" s="97"/>
      <c r="EV232" s="97"/>
      <c r="EW232" s="97"/>
      <c r="EX232" s="97"/>
      <c r="EY232" s="97"/>
      <c r="EZ232" s="97"/>
      <c r="FA232" s="97"/>
      <c r="FB232" s="97"/>
      <c r="FC232" s="97"/>
      <c r="FD232" s="97"/>
      <c r="FE232" s="97"/>
      <c r="FF232" s="97"/>
      <c r="FG232" s="97"/>
      <c r="FH232" s="97"/>
      <c r="FI232" s="97"/>
      <c r="FJ232" s="97"/>
      <c r="FK232" s="97"/>
      <c r="FL232" s="97"/>
      <c r="FM232" s="97"/>
      <c r="FN232" s="97"/>
      <c r="FO232" s="97"/>
      <c r="FP232" s="97"/>
      <c r="FQ232" s="97"/>
      <c r="FR232" s="97"/>
      <c r="FS232" s="97"/>
      <c r="FT232" s="97"/>
      <c r="FU232" s="97"/>
    </row>
    <row r="233" spans="10:177" s="1" customFormat="1" ht="15.75">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c r="DQ233" s="97"/>
      <c r="DR233" s="97"/>
      <c r="DS233" s="97"/>
      <c r="DT233" s="97"/>
      <c r="DU233" s="97"/>
      <c r="DV233" s="97"/>
      <c r="DW233" s="97"/>
      <c r="DX233" s="97"/>
      <c r="DY233" s="97"/>
      <c r="DZ233" s="97"/>
      <c r="EA233" s="97"/>
      <c r="EB233" s="97"/>
      <c r="EC233" s="97"/>
      <c r="ED233" s="97"/>
      <c r="EE233" s="97"/>
      <c r="EF233" s="97"/>
      <c r="EG233" s="97"/>
      <c r="EH233" s="97"/>
      <c r="EI233" s="97"/>
      <c r="EJ233" s="97"/>
      <c r="EK233" s="97"/>
      <c r="EL233" s="97"/>
      <c r="EM233" s="97"/>
      <c r="EN233" s="97"/>
      <c r="EO233" s="97"/>
      <c r="EP233" s="97"/>
      <c r="EQ233" s="97"/>
      <c r="ER233" s="97"/>
      <c r="ES233" s="97"/>
      <c r="ET233" s="97"/>
      <c r="EU233" s="97"/>
      <c r="EV233" s="97"/>
      <c r="EW233" s="97"/>
      <c r="EX233" s="97"/>
      <c r="EY233" s="97"/>
      <c r="EZ233" s="97"/>
      <c r="FA233" s="97"/>
      <c r="FB233" s="97"/>
      <c r="FC233" s="97"/>
      <c r="FD233" s="97"/>
      <c r="FE233" s="97"/>
      <c r="FF233" s="97"/>
      <c r="FG233" s="97"/>
      <c r="FH233" s="97"/>
      <c r="FI233" s="97"/>
      <c r="FJ233" s="97"/>
      <c r="FK233" s="97"/>
      <c r="FL233" s="97"/>
      <c r="FM233" s="97"/>
      <c r="FN233" s="97"/>
      <c r="FO233" s="97"/>
      <c r="FP233" s="97"/>
      <c r="FQ233" s="97"/>
      <c r="FR233" s="97"/>
      <c r="FS233" s="97"/>
      <c r="FT233" s="97"/>
      <c r="FU233" s="97"/>
    </row>
    <row r="234" spans="10:177" s="1" customFormat="1" ht="15.75">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c r="CY234" s="97"/>
      <c r="CZ234" s="97"/>
      <c r="DA234" s="97"/>
      <c r="DB234" s="97"/>
      <c r="DC234" s="97"/>
      <c r="DD234" s="97"/>
      <c r="DE234" s="97"/>
      <c r="DF234" s="97"/>
      <c r="DG234" s="97"/>
      <c r="DH234" s="97"/>
      <c r="DI234" s="97"/>
      <c r="DJ234" s="97"/>
      <c r="DK234" s="97"/>
      <c r="DL234" s="97"/>
      <c r="DM234" s="97"/>
      <c r="DN234" s="97"/>
      <c r="DO234" s="97"/>
      <c r="DP234" s="97"/>
      <c r="DQ234" s="97"/>
      <c r="DR234" s="97"/>
      <c r="DS234" s="97"/>
      <c r="DT234" s="97"/>
      <c r="DU234" s="97"/>
      <c r="DV234" s="97"/>
      <c r="DW234" s="97"/>
      <c r="DX234" s="97"/>
      <c r="DY234" s="97"/>
      <c r="DZ234" s="97"/>
      <c r="EA234" s="97"/>
      <c r="EB234" s="97"/>
      <c r="EC234" s="97"/>
      <c r="ED234" s="97"/>
      <c r="EE234" s="97"/>
      <c r="EF234" s="97"/>
      <c r="EG234" s="97"/>
      <c r="EH234" s="97"/>
      <c r="EI234" s="97"/>
      <c r="EJ234" s="97"/>
      <c r="EK234" s="97"/>
      <c r="EL234" s="97"/>
      <c r="EM234" s="97"/>
      <c r="EN234" s="97"/>
      <c r="EO234" s="97"/>
      <c r="EP234" s="97"/>
      <c r="EQ234" s="97"/>
      <c r="ER234" s="97"/>
      <c r="ES234" s="97"/>
      <c r="ET234" s="97"/>
      <c r="EU234" s="97"/>
      <c r="EV234" s="97"/>
      <c r="EW234" s="97"/>
      <c r="EX234" s="97"/>
      <c r="EY234" s="97"/>
      <c r="EZ234" s="97"/>
      <c r="FA234" s="97"/>
      <c r="FB234" s="97"/>
      <c r="FC234" s="97"/>
      <c r="FD234" s="97"/>
      <c r="FE234" s="97"/>
      <c r="FF234" s="97"/>
      <c r="FG234" s="97"/>
      <c r="FH234" s="97"/>
      <c r="FI234" s="97"/>
      <c r="FJ234" s="97"/>
      <c r="FK234" s="97"/>
      <c r="FL234" s="97"/>
      <c r="FM234" s="97"/>
      <c r="FN234" s="97"/>
      <c r="FO234" s="97"/>
      <c r="FP234" s="97"/>
      <c r="FQ234" s="97"/>
      <c r="FR234" s="97"/>
      <c r="FS234" s="97"/>
      <c r="FT234" s="97"/>
      <c r="FU234" s="97"/>
    </row>
    <row r="235" spans="10:177" s="1" customFormat="1" ht="15.75">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c r="EC235" s="97"/>
      <c r="ED235" s="97"/>
      <c r="EE235" s="97"/>
      <c r="EF235" s="97"/>
      <c r="EG235" s="97"/>
      <c r="EH235" s="97"/>
      <c r="EI235" s="97"/>
      <c r="EJ235" s="97"/>
      <c r="EK235" s="97"/>
      <c r="EL235" s="97"/>
      <c r="EM235" s="97"/>
      <c r="EN235" s="97"/>
      <c r="EO235" s="97"/>
      <c r="EP235" s="97"/>
      <c r="EQ235" s="97"/>
      <c r="ER235" s="97"/>
      <c r="ES235" s="97"/>
      <c r="ET235" s="97"/>
      <c r="EU235" s="97"/>
      <c r="EV235" s="97"/>
      <c r="EW235" s="97"/>
      <c r="EX235" s="97"/>
      <c r="EY235" s="97"/>
      <c r="EZ235" s="97"/>
      <c r="FA235" s="97"/>
      <c r="FB235" s="97"/>
      <c r="FC235" s="97"/>
      <c r="FD235" s="97"/>
      <c r="FE235" s="97"/>
      <c r="FF235" s="97"/>
      <c r="FG235" s="97"/>
      <c r="FH235" s="97"/>
      <c r="FI235" s="97"/>
      <c r="FJ235" s="97"/>
      <c r="FK235" s="97"/>
      <c r="FL235" s="97"/>
      <c r="FM235" s="97"/>
      <c r="FN235" s="97"/>
      <c r="FO235" s="97"/>
      <c r="FP235" s="97"/>
      <c r="FQ235" s="97"/>
      <c r="FR235" s="97"/>
      <c r="FS235" s="97"/>
      <c r="FT235" s="97"/>
      <c r="FU235" s="97"/>
    </row>
    <row r="236" spans="10:177" s="1" customFormat="1" ht="15.75">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c r="DD236" s="97"/>
      <c r="DE236" s="97"/>
      <c r="DF236" s="97"/>
      <c r="DG236" s="97"/>
      <c r="DH236" s="97"/>
      <c r="DI236" s="97"/>
      <c r="DJ236" s="97"/>
      <c r="DK236" s="97"/>
      <c r="DL236" s="97"/>
      <c r="DM236" s="97"/>
      <c r="DN236" s="97"/>
      <c r="DO236" s="97"/>
      <c r="DP236" s="97"/>
      <c r="DQ236" s="97"/>
      <c r="DR236" s="97"/>
      <c r="DS236" s="97"/>
      <c r="DT236" s="97"/>
      <c r="DU236" s="97"/>
      <c r="DV236" s="97"/>
      <c r="DW236" s="97"/>
      <c r="DX236" s="97"/>
      <c r="DY236" s="97"/>
      <c r="DZ236" s="97"/>
      <c r="EA236" s="97"/>
      <c r="EB236" s="97"/>
      <c r="EC236" s="97"/>
      <c r="ED236" s="97"/>
      <c r="EE236" s="97"/>
      <c r="EF236" s="97"/>
      <c r="EG236" s="97"/>
      <c r="EH236" s="97"/>
      <c r="EI236" s="97"/>
      <c r="EJ236" s="97"/>
      <c r="EK236" s="97"/>
      <c r="EL236" s="97"/>
      <c r="EM236" s="97"/>
      <c r="EN236" s="97"/>
      <c r="EO236" s="97"/>
      <c r="EP236" s="97"/>
      <c r="EQ236" s="97"/>
      <c r="ER236" s="97"/>
      <c r="ES236" s="97"/>
      <c r="ET236" s="97"/>
      <c r="EU236" s="97"/>
      <c r="EV236" s="97"/>
      <c r="EW236" s="97"/>
      <c r="EX236" s="97"/>
      <c r="EY236" s="97"/>
      <c r="EZ236" s="97"/>
      <c r="FA236" s="97"/>
      <c r="FB236" s="97"/>
      <c r="FC236" s="97"/>
      <c r="FD236" s="97"/>
      <c r="FE236" s="97"/>
      <c r="FF236" s="97"/>
      <c r="FG236" s="97"/>
      <c r="FH236" s="97"/>
      <c r="FI236" s="97"/>
      <c r="FJ236" s="97"/>
      <c r="FK236" s="97"/>
      <c r="FL236" s="97"/>
      <c r="FM236" s="97"/>
      <c r="FN236" s="97"/>
      <c r="FO236" s="97"/>
      <c r="FP236" s="97"/>
      <c r="FQ236" s="97"/>
      <c r="FR236" s="97"/>
      <c r="FS236" s="97"/>
      <c r="FT236" s="97"/>
      <c r="FU236" s="97"/>
    </row>
    <row r="237" spans="10:177" s="1" customFormat="1" ht="15.75">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97"/>
      <c r="DJ237" s="97"/>
      <c r="DK237" s="97"/>
      <c r="DL237" s="97"/>
      <c r="DM237" s="97"/>
      <c r="DN237" s="97"/>
      <c r="DO237" s="97"/>
      <c r="DP237" s="97"/>
      <c r="DQ237" s="97"/>
      <c r="DR237" s="97"/>
      <c r="DS237" s="97"/>
      <c r="DT237" s="97"/>
      <c r="DU237" s="97"/>
      <c r="DV237" s="97"/>
      <c r="DW237" s="97"/>
      <c r="DX237" s="97"/>
      <c r="DY237" s="97"/>
      <c r="DZ237" s="97"/>
      <c r="EA237" s="97"/>
      <c r="EB237" s="97"/>
      <c r="EC237" s="97"/>
      <c r="ED237" s="97"/>
      <c r="EE237" s="97"/>
      <c r="EF237" s="97"/>
      <c r="EG237" s="97"/>
      <c r="EH237" s="97"/>
      <c r="EI237" s="97"/>
      <c r="EJ237" s="97"/>
      <c r="EK237" s="97"/>
      <c r="EL237" s="97"/>
      <c r="EM237" s="97"/>
      <c r="EN237" s="97"/>
      <c r="EO237" s="97"/>
      <c r="EP237" s="97"/>
      <c r="EQ237" s="97"/>
      <c r="ER237" s="97"/>
      <c r="ES237" s="97"/>
      <c r="ET237" s="97"/>
      <c r="EU237" s="97"/>
      <c r="EV237" s="97"/>
      <c r="EW237" s="97"/>
      <c r="EX237" s="97"/>
      <c r="EY237" s="97"/>
      <c r="EZ237" s="97"/>
      <c r="FA237" s="97"/>
      <c r="FB237" s="97"/>
      <c r="FC237" s="97"/>
      <c r="FD237" s="97"/>
      <c r="FE237" s="97"/>
      <c r="FF237" s="97"/>
      <c r="FG237" s="97"/>
      <c r="FH237" s="97"/>
      <c r="FI237" s="97"/>
      <c r="FJ237" s="97"/>
      <c r="FK237" s="97"/>
      <c r="FL237" s="97"/>
      <c r="FM237" s="97"/>
      <c r="FN237" s="97"/>
      <c r="FO237" s="97"/>
      <c r="FP237" s="97"/>
      <c r="FQ237" s="97"/>
      <c r="FR237" s="97"/>
      <c r="FS237" s="97"/>
      <c r="FT237" s="97"/>
      <c r="FU237" s="97"/>
    </row>
    <row r="238" spans="10:177" s="1" customFormat="1" ht="15.75">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c r="DQ238" s="97"/>
      <c r="DR238" s="97"/>
      <c r="DS238" s="97"/>
      <c r="DT238" s="97"/>
      <c r="DU238" s="97"/>
      <c r="DV238" s="97"/>
      <c r="DW238" s="97"/>
      <c r="DX238" s="97"/>
      <c r="DY238" s="97"/>
      <c r="DZ238" s="97"/>
      <c r="EA238" s="97"/>
      <c r="EB238" s="97"/>
      <c r="EC238" s="97"/>
      <c r="ED238" s="97"/>
      <c r="EE238" s="97"/>
      <c r="EF238" s="97"/>
      <c r="EG238" s="97"/>
      <c r="EH238" s="97"/>
      <c r="EI238" s="97"/>
      <c r="EJ238" s="97"/>
      <c r="EK238" s="97"/>
      <c r="EL238" s="97"/>
      <c r="EM238" s="97"/>
      <c r="EN238" s="97"/>
      <c r="EO238" s="97"/>
      <c r="EP238" s="97"/>
      <c r="EQ238" s="97"/>
      <c r="ER238" s="97"/>
      <c r="ES238" s="97"/>
      <c r="ET238" s="97"/>
      <c r="EU238" s="97"/>
      <c r="EV238" s="97"/>
      <c r="EW238" s="97"/>
      <c r="EX238" s="97"/>
      <c r="EY238" s="97"/>
      <c r="EZ238" s="97"/>
      <c r="FA238" s="97"/>
      <c r="FB238" s="97"/>
      <c r="FC238" s="97"/>
      <c r="FD238" s="97"/>
      <c r="FE238" s="97"/>
      <c r="FF238" s="97"/>
      <c r="FG238" s="97"/>
      <c r="FH238" s="97"/>
      <c r="FI238" s="97"/>
      <c r="FJ238" s="97"/>
      <c r="FK238" s="97"/>
      <c r="FL238" s="97"/>
      <c r="FM238" s="97"/>
      <c r="FN238" s="97"/>
      <c r="FO238" s="97"/>
      <c r="FP238" s="97"/>
      <c r="FQ238" s="97"/>
      <c r="FR238" s="97"/>
      <c r="FS238" s="97"/>
      <c r="FT238" s="97"/>
      <c r="FU238" s="97"/>
    </row>
    <row r="239" spans="10:177" s="1" customFormat="1" ht="15.75">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c r="CY239" s="97"/>
      <c r="CZ239" s="97"/>
      <c r="DA239" s="97"/>
      <c r="DB239" s="97"/>
      <c r="DC239" s="97"/>
      <c r="DD239" s="97"/>
      <c r="DE239" s="97"/>
      <c r="DF239" s="97"/>
      <c r="DG239" s="97"/>
      <c r="DH239" s="97"/>
      <c r="DI239" s="97"/>
      <c r="DJ239" s="97"/>
      <c r="DK239" s="97"/>
      <c r="DL239" s="97"/>
      <c r="DM239" s="97"/>
      <c r="DN239" s="97"/>
      <c r="DO239" s="97"/>
      <c r="DP239" s="97"/>
      <c r="DQ239" s="97"/>
      <c r="DR239" s="97"/>
      <c r="DS239" s="97"/>
      <c r="DT239" s="97"/>
      <c r="DU239" s="97"/>
      <c r="DV239" s="97"/>
      <c r="DW239" s="97"/>
      <c r="DX239" s="97"/>
      <c r="DY239" s="97"/>
      <c r="DZ239" s="97"/>
      <c r="EA239" s="97"/>
      <c r="EB239" s="97"/>
      <c r="EC239" s="97"/>
      <c r="ED239" s="97"/>
      <c r="EE239" s="97"/>
      <c r="EF239" s="97"/>
      <c r="EG239" s="97"/>
      <c r="EH239" s="97"/>
      <c r="EI239" s="97"/>
      <c r="EJ239" s="97"/>
      <c r="EK239" s="97"/>
      <c r="EL239" s="97"/>
      <c r="EM239" s="97"/>
      <c r="EN239" s="97"/>
      <c r="EO239" s="97"/>
      <c r="EP239" s="97"/>
      <c r="EQ239" s="97"/>
      <c r="ER239" s="97"/>
      <c r="ES239" s="97"/>
      <c r="ET239" s="97"/>
      <c r="EU239" s="97"/>
      <c r="EV239" s="97"/>
      <c r="EW239" s="97"/>
      <c r="EX239" s="97"/>
      <c r="EY239" s="97"/>
      <c r="EZ239" s="97"/>
      <c r="FA239" s="97"/>
      <c r="FB239" s="97"/>
      <c r="FC239" s="97"/>
      <c r="FD239" s="97"/>
      <c r="FE239" s="97"/>
      <c r="FF239" s="97"/>
      <c r="FG239" s="97"/>
      <c r="FH239" s="97"/>
      <c r="FI239" s="97"/>
      <c r="FJ239" s="97"/>
      <c r="FK239" s="97"/>
      <c r="FL239" s="97"/>
      <c r="FM239" s="97"/>
      <c r="FN239" s="97"/>
      <c r="FO239" s="97"/>
      <c r="FP239" s="97"/>
      <c r="FQ239" s="97"/>
      <c r="FR239" s="97"/>
      <c r="FS239" s="97"/>
      <c r="FT239" s="97"/>
      <c r="FU239" s="97"/>
    </row>
    <row r="240" spans="10:177" s="1" customFormat="1" ht="15.75">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c r="CY240" s="97"/>
      <c r="CZ240" s="97"/>
      <c r="DA240" s="97"/>
      <c r="DB240" s="97"/>
      <c r="DC240" s="97"/>
      <c r="DD240" s="97"/>
      <c r="DE240" s="97"/>
      <c r="DF240" s="97"/>
      <c r="DG240" s="97"/>
      <c r="DH240" s="97"/>
      <c r="DI240" s="97"/>
      <c r="DJ240" s="97"/>
      <c r="DK240" s="97"/>
      <c r="DL240" s="97"/>
      <c r="DM240" s="97"/>
      <c r="DN240" s="97"/>
      <c r="DO240" s="97"/>
      <c r="DP240" s="97"/>
      <c r="DQ240" s="97"/>
      <c r="DR240" s="97"/>
      <c r="DS240" s="97"/>
      <c r="DT240" s="97"/>
      <c r="DU240" s="97"/>
      <c r="DV240" s="97"/>
      <c r="DW240" s="97"/>
      <c r="DX240" s="97"/>
      <c r="DY240" s="97"/>
      <c r="DZ240" s="97"/>
      <c r="EA240" s="97"/>
      <c r="EB240" s="97"/>
      <c r="EC240" s="97"/>
      <c r="ED240" s="97"/>
      <c r="EE240" s="97"/>
      <c r="EF240" s="97"/>
      <c r="EG240" s="97"/>
      <c r="EH240" s="97"/>
      <c r="EI240" s="97"/>
      <c r="EJ240" s="97"/>
      <c r="EK240" s="97"/>
      <c r="EL240" s="97"/>
      <c r="EM240" s="97"/>
      <c r="EN240" s="97"/>
      <c r="EO240" s="97"/>
      <c r="EP240" s="97"/>
      <c r="EQ240" s="97"/>
      <c r="ER240" s="97"/>
      <c r="ES240" s="97"/>
      <c r="ET240" s="97"/>
      <c r="EU240" s="97"/>
      <c r="EV240" s="97"/>
      <c r="EW240" s="97"/>
      <c r="EX240" s="97"/>
      <c r="EY240" s="97"/>
      <c r="EZ240" s="97"/>
      <c r="FA240" s="97"/>
      <c r="FB240" s="97"/>
      <c r="FC240" s="97"/>
      <c r="FD240" s="97"/>
      <c r="FE240" s="97"/>
      <c r="FF240" s="97"/>
      <c r="FG240" s="97"/>
      <c r="FH240" s="97"/>
      <c r="FI240" s="97"/>
      <c r="FJ240" s="97"/>
      <c r="FK240" s="97"/>
      <c r="FL240" s="97"/>
      <c r="FM240" s="97"/>
      <c r="FN240" s="97"/>
      <c r="FO240" s="97"/>
      <c r="FP240" s="97"/>
      <c r="FQ240" s="97"/>
      <c r="FR240" s="97"/>
      <c r="FS240" s="97"/>
      <c r="FT240" s="97"/>
      <c r="FU240" s="97"/>
    </row>
    <row r="241" spans="10:177" s="1" customFormat="1" ht="15.75">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c r="DQ241" s="97"/>
      <c r="DR241" s="97"/>
      <c r="DS241" s="97"/>
      <c r="DT241" s="97"/>
      <c r="DU241" s="97"/>
      <c r="DV241" s="97"/>
      <c r="DW241" s="97"/>
      <c r="DX241" s="97"/>
      <c r="DY241" s="97"/>
      <c r="DZ241" s="97"/>
      <c r="EA241" s="97"/>
      <c r="EB241" s="97"/>
      <c r="EC241" s="97"/>
      <c r="ED241" s="97"/>
      <c r="EE241" s="97"/>
      <c r="EF241" s="97"/>
      <c r="EG241" s="97"/>
      <c r="EH241" s="97"/>
      <c r="EI241" s="97"/>
      <c r="EJ241" s="97"/>
      <c r="EK241" s="97"/>
      <c r="EL241" s="97"/>
      <c r="EM241" s="97"/>
      <c r="EN241" s="97"/>
      <c r="EO241" s="97"/>
      <c r="EP241" s="97"/>
      <c r="EQ241" s="97"/>
      <c r="ER241" s="97"/>
      <c r="ES241" s="97"/>
      <c r="ET241" s="97"/>
      <c r="EU241" s="97"/>
      <c r="EV241" s="97"/>
      <c r="EW241" s="97"/>
      <c r="EX241" s="97"/>
      <c r="EY241" s="97"/>
      <c r="EZ241" s="97"/>
      <c r="FA241" s="97"/>
      <c r="FB241" s="97"/>
      <c r="FC241" s="97"/>
      <c r="FD241" s="97"/>
      <c r="FE241" s="97"/>
      <c r="FF241" s="97"/>
      <c r="FG241" s="97"/>
      <c r="FH241" s="97"/>
      <c r="FI241" s="97"/>
      <c r="FJ241" s="97"/>
      <c r="FK241" s="97"/>
      <c r="FL241" s="97"/>
      <c r="FM241" s="97"/>
      <c r="FN241" s="97"/>
      <c r="FO241" s="97"/>
      <c r="FP241" s="97"/>
      <c r="FQ241" s="97"/>
      <c r="FR241" s="97"/>
      <c r="FS241" s="97"/>
      <c r="FT241" s="97"/>
      <c r="FU241" s="97"/>
    </row>
    <row r="242" spans="10:177" s="1" customFormat="1" ht="15.75">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c r="DQ242" s="97"/>
      <c r="DR242" s="97"/>
      <c r="DS242" s="97"/>
      <c r="DT242" s="97"/>
      <c r="DU242" s="97"/>
      <c r="DV242" s="97"/>
      <c r="DW242" s="97"/>
      <c r="DX242" s="97"/>
      <c r="DY242" s="97"/>
      <c r="DZ242" s="97"/>
      <c r="EA242" s="97"/>
      <c r="EB242" s="97"/>
      <c r="EC242" s="97"/>
      <c r="ED242" s="97"/>
      <c r="EE242" s="97"/>
      <c r="EF242" s="97"/>
      <c r="EG242" s="97"/>
      <c r="EH242" s="97"/>
      <c r="EI242" s="97"/>
      <c r="EJ242" s="97"/>
      <c r="EK242" s="97"/>
      <c r="EL242" s="97"/>
      <c r="EM242" s="97"/>
      <c r="EN242" s="97"/>
      <c r="EO242" s="97"/>
      <c r="EP242" s="97"/>
      <c r="EQ242" s="97"/>
      <c r="ER242" s="97"/>
      <c r="ES242" s="97"/>
      <c r="ET242" s="97"/>
      <c r="EU242" s="97"/>
      <c r="EV242" s="97"/>
      <c r="EW242" s="97"/>
      <c r="EX242" s="97"/>
      <c r="EY242" s="97"/>
      <c r="EZ242" s="97"/>
      <c r="FA242" s="97"/>
      <c r="FB242" s="97"/>
      <c r="FC242" s="97"/>
      <c r="FD242" s="97"/>
      <c r="FE242" s="97"/>
      <c r="FF242" s="97"/>
      <c r="FG242" s="97"/>
      <c r="FH242" s="97"/>
      <c r="FI242" s="97"/>
      <c r="FJ242" s="97"/>
      <c r="FK242" s="97"/>
      <c r="FL242" s="97"/>
      <c r="FM242" s="97"/>
      <c r="FN242" s="97"/>
      <c r="FO242" s="97"/>
      <c r="FP242" s="97"/>
      <c r="FQ242" s="97"/>
      <c r="FR242" s="97"/>
      <c r="FS242" s="97"/>
      <c r="FT242" s="97"/>
      <c r="FU242" s="97"/>
    </row>
    <row r="243" spans="10:177" s="1" customFormat="1" ht="15.75">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c r="CY243" s="97"/>
      <c r="CZ243" s="97"/>
      <c r="DA243" s="97"/>
      <c r="DB243" s="97"/>
      <c r="DC243" s="97"/>
      <c r="DD243" s="97"/>
      <c r="DE243" s="97"/>
      <c r="DF243" s="97"/>
      <c r="DG243" s="97"/>
      <c r="DH243" s="97"/>
      <c r="DI243" s="97"/>
      <c r="DJ243" s="97"/>
      <c r="DK243" s="97"/>
      <c r="DL243" s="97"/>
      <c r="DM243" s="97"/>
      <c r="DN243" s="97"/>
      <c r="DO243" s="97"/>
      <c r="DP243" s="97"/>
      <c r="DQ243" s="97"/>
      <c r="DR243" s="97"/>
      <c r="DS243" s="97"/>
      <c r="DT243" s="97"/>
      <c r="DU243" s="97"/>
      <c r="DV243" s="97"/>
      <c r="DW243" s="97"/>
      <c r="DX243" s="97"/>
      <c r="DY243" s="97"/>
      <c r="DZ243" s="97"/>
      <c r="EA243" s="97"/>
      <c r="EB243" s="97"/>
      <c r="EC243" s="97"/>
      <c r="ED243" s="97"/>
      <c r="EE243" s="97"/>
      <c r="EF243" s="97"/>
      <c r="EG243" s="97"/>
      <c r="EH243" s="97"/>
      <c r="EI243" s="97"/>
      <c r="EJ243" s="97"/>
      <c r="EK243" s="97"/>
      <c r="EL243" s="97"/>
      <c r="EM243" s="97"/>
      <c r="EN243" s="97"/>
      <c r="EO243" s="97"/>
      <c r="EP243" s="97"/>
      <c r="EQ243" s="97"/>
      <c r="ER243" s="97"/>
      <c r="ES243" s="97"/>
      <c r="ET243" s="97"/>
      <c r="EU243" s="97"/>
      <c r="EV243" s="97"/>
      <c r="EW243" s="97"/>
      <c r="EX243" s="97"/>
      <c r="EY243" s="97"/>
      <c r="EZ243" s="97"/>
      <c r="FA243" s="97"/>
      <c r="FB243" s="97"/>
      <c r="FC243" s="97"/>
      <c r="FD243" s="97"/>
      <c r="FE243" s="97"/>
      <c r="FF243" s="97"/>
      <c r="FG243" s="97"/>
      <c r="FH243" s="97"/>
      <c r="FI243" s="97"/>
      <c r="FJ243" s="97"/>
      <c r="FK243" s="97"/>
      <c r="FL243" s="97"/>
      <c r="FM243" s="97"/>
      <c r="FN243" s="97"/>
      <c r="FO243" s="97"/>
      <c r="FP243" s="97"/>
      <c r="FQ243" s="97"/>
      <c r="FR243" s="97"/>
      <c r="FS243" s="97"/>
      <c r="FT243" s="97"/>
      <c r="FU243" s="97"/>
    </row>
    <row r="244" spans="10:177" s="1" customFormat="1" ht="15.75">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97"/>
      <c r="DJ244" s="97"/>
      <c r="DK244" s="97"/>
      <c r="DL244" s="97"/>
      <c r="DM244" s="97"/>
      <c r="DN244" s="97"/>
      <c r="DO244" s="97"/>
      <c r="DP244" s="97"/>
      <c r="DQ244" s="97"/>
      <c r="DR244" s="97"/>
      <c r="DS244" s="97"/>
      <c r="DT244" s="97"/>
      <c r="DU244" s="97"/>
      <c r="DV244" s="97"/>
      <c r="DW244" s="97"/>
      <c r="DX244" s="97"/>
      <c r="DY244" s="97"/>
      <c r="DZ244" s="97"/>
      <c r="EA244" s="97"/>
      <c r="EB244" s="97"/>
      <c r="EC244" s="97"/>
      <c r="ED244" s="97"/>
      <c r="EE244" s="97"/>
      <c r="EF244" s="97"/>
      <c r="EG244" s="97"/>
      <c r="EH244" s="97"/>
      <c r="EI244" s="97"/>
      <c r="EJ244" s="97"/>
      <c r="EK244" s="97"/>
      <c r="EL244" s="97"/>
      <c r="EM244" s="97"/>
      <c r="EN244" s="97"/>
      <c r="EO244" s="97"/>
      <c r="EP244" s="97"/>
      <c r="EQ244" s="97"/>
      <c r="ER244" s="97"/>
      <c r="ES244" s="97"/>
      <c r="ET244" s="97"/>
      <c r="EU244" s="97"/>
      <c r="EV244" s="97"/>
      <c r="EW244" s="97"/>
      <c r="EX244" s="97"/>
      <c r="EY244" s="97"/>
      <c r="EZ244" s="97"/>
      <c r="FA244" s="97"/>
      <c r="FB244" s="97"/>
      <c r="FC244" s="97"/>
      <c r="FD244" s="97"/>
      <c r="FE244" s="97"/>
      <c r="FF244" s="97"/>
      <c r="FG244" s="97"/>
      <c r="FH244" s="97"/>
      <c r="FI244" s="97"/>
      <c r="FJ244" s="97"/>
      <c r="FK244" s="97"/>
      <c r="FL244" s="97"/>
      <c r="FM244" s="97"/>
      <c r="FN244" s="97"/>
      <c r="FO244" s="97"/>
      <c r="FP244" s="97"/>
      <c r="FQ244" s="97"/>
      <c r="FR244" s="97"/>
      <c r="FS244" s="97"/>
      <c r="FT244" s="97"/>
      <c r="FU244" s="97"/>
    </row>
    <row r="245" spans="10:177" s="1" customFormat="1" ht="15.75">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c r="CY245" s="97"/>
      <c r="CZ245" s="97"/>
      <c r="DA245" s="97"/>
      <c r="DB245" s="97"/>
      <c r="DC245" s="97"/>
      <c r="DD245" s="97"/>
      <c r="DE245" s="97"/>
      <c r="DF245" s="97"/>
      <c r="DG245" s="97"/>
      <c r="DH245" s="97"/>
      <c r="DI245" s="97"/>
      <c r="DJ245" s="97"/>
      <c r="DK245" s="97"/>
      <c r="DL245" s="97"/>
      <c r="DM245" s="97"/>
      <c r="DN245" s="97"/>
      <c r="DO245" s="97"/>
      <c r="DP245" s="97"/>
      <c r="DQ245" s="97"/>
      <c r="DR245" s="97"/>
      <c r="DS245" s="97"/>
      <c r="DT245" s="97"/>
      <c r="DU245" s="97"/>
      <c r="DV245" s="97"/>
      <c r="DW245" s="97"/>
      <c r="DX245" s="97"/>
      <c r="DY245" s="97"/>
      <c r="DZ245" s="97"/>
      <c r="EA245" s="97"/>
      <c r="EB245" s="97"/>
      <c r="EC245" s="97"/>
      <c r="ED245" s="97"/>
      <c r="EE245" s="97"/>
      <c r="EF245" s="97"/>
      <c r="EG245" s="97"/>
      <c r="EH245" s="97"/>
      <c r="EI245" s="97"/>
      <c r="EJ245" s="97"/>
      <c r="EK245" s="97"/>
      <c r="EL245" s="97"/>
      <c r="EM245" s="97"/>
      <c r="EN245" s="97"/>
      <c r="EO245" s="97"/>
      <c r="EP245" s="97"/>
      <c r="EQ245" s="97"/>
      <c r="ER245" s="97"/>
      <c r="ES245" s="97"/>
      <c r="ET245" s="97"/>
      <c r="EU245" s="97"/>
      <c r="EV245" s="97"/>
      <c r="EW245" s="97"/>
      <c r="EX245" s="97"/>
      <c r="EY245" s="97"/>
      <c r="EZ245" s="97"/>
      <c r="FA245" s="97"/>
      <c r="FB245" s="97"/>
      <c r="FC245" s="97"/>
      <c r="FD245" s="97"/>
      <c r="FE245" s="97"/>
      <c r="FF245" s="97"/>
      <c r="FG245" s="97"/>
      <c r="FH245" s="97"/>
      <c r="FI245" s="97"/>
      <c r="FJ245" s="97"/>
      <c r="FK245" s="97"/>
      <c r="FL245" s="97"/>
      <c r="FM245" s="97"/>
      <c r="FN245" s="97"/>
      <c r="FO245" s="97"/>
      <c r="FP245" s="97"/>
      <c r="FQ245" s="97"/>
      <c r="FR245" s="97"/>
      <c r="FS245" s="97"/>
      <c r="FT245" s="97"/>
      <c r="FU245" s="97"/>
    </row>
    <row r="246" spans="10:177" s="1" customFormat="1" ht="15.75">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c r="DQ246" s="97"/>
      <c r="DR246" s="97"/>
      <c r="DS246" s="97"/>
      <c r="DT246" s="97"/>
      <c r="DU246" s="97"/>
      <c r="DV246" s="97"/>
      <c r="DW246" s="97"/>
      <c r="DX246" s="97"/>
      <c r="DY246" s="97"/>
      <c r="DZ246" s="97"/>
      <c r="EA246" s="97"/>
      <c r="EB246" s="97"/>
      <c r="EC246" s="97"/>
      <c r="ED246" s="97"/>
      <c r="EE246" s="97"/>
      <c r="EF246" s="97"/>
      <c r="EG246" s="97"/>
      <c r="EH246" s="97"/>
      <c r="EI246" s="97"/>
      <c r="EJ246" s="97"/>
      <c r="EK246" s="97"/>
      <c r="EL246" s="97"/>
      <c r="EM246" s="97"/>
      <c r="EN246" s="97"/>
      <c r="EO246" s="97"/>
      <c r="EP246" s="97"/>
      <c r="EQ246" s="97"/>
      <c r="ER246" s="97"/>
      <c r="ES246" s="97"/>
      <c r="ET246" s="97"/>
      <c r="EU246" s="97"/>
      <c r="EV246" s="97"/>
      <c r="EW246" s="97"/>
      <c r="EX246" s="97"/>
      <c r="EY246" s="97"/>
      <c r="EZ246" s="97"/>
      <c r="FA246" s="97"/>
      <c r="FB246" s="97"/>
      <c r="FC246" s="97"/>
      <c r="FD246" s="97"/>
      <c r="FE246" s="97"/>
      <c r="FF246" s="97"/>
      <c r="FG246" s="97"/>
      <c r="FH246" s="97"/>
      <c r="FI246" s="97"/>
      <c r="FJ246" s="97"/>
      <c r="FK246" s="97"/>
      <c r="FL246" s="97"/>
      <c r="FM246" s="97"/>
      <c r="FN246" s="97"/>
      <c r="FO246" s="97"/>
      <c r="FP246" s="97"/>
      <c r="FQ246" s="97"/>
      <c r="FR246" s="97"/>
      <c r="FS246" s="97"/>
      <c r="FT246" s="97"/>
      <c r="FU246" s="97"/>
    </row>
    <row r="247" spans="10:177" s="1" customFormat="1" ht="15.75">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c r="EC247" s="97"/>
      <c r="ED247" s="97"/>
      <c r="EE247" s="97"/>
      <c r="EF247" s="97"/>
      <c r="EG247" s="97"/>
      <c r="EH247" s="97"/>
      <c r="EI247" s="97"/>
      <c r="EJ247" s="97"/>
      <c r="EK247" s="97"/>
      <c r="EL247" s="97"/>
      <c r="EM247" s="97"/>
      <c r="EN247" s="97"/>
      <c r="EO247" s="97"/>
      <c r="EP247" s="97"/>
      <c r="EQ247" s="97"/>
      <c r="ER247" s="97"/>
      <c r="ES247" s="97"/>
      <c r="ET247" s="97"/>
      <c r="EU247" s="97"/>
      <c r="EV247" s="97"/>
      <c r="EW247" s="97"/>
      <c r="EX247" s="97"/>
      <c r="EY247" s="97"/>
      <c r="EZ247" s="97"/>
      <c r="FA247" s="97"/>
      <c r="FB247" s="97"/>
      <c r="FC247" s="97"/>
      <c r="FD247" s="97"/>
      <c r="FE247" s="97"/>
      <c r="FF247" s="97"/>
      <c r="FG247" s="97"/>
      <c r="FH247" s="97"/>
      <c r="FI247" s="97"/>
      <c r="FJ247" s="97"/>
      <c r="FK247" s="97"/>
      <c r="FL247" s="97"/>
      <c r="FM247" s="97"/>
      <c r="FN247" s="97"/>
      <c r="FO247" s="97"/>
      <c r="FP247" s="97"/>
      <c r="FQ247" s="97"/>
      <c r="FR247" s="97"/>
      <c r="FS247" s="97"/>
      <c r="FT247" s="97"/>
      <c r="FU247" s="97"/>
    </row>
    <row r="248" spans="10:177" s="1" customFormat="1" ht="15.75">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c r="DQ248" s="97"/>
      <c r="DR248" s="97"/>
      <c r="DS248" s="97"/>
      <c r="DT248" s="97"/>
      <c r="DU248" s="97"/>
      <c r="DV248" s="97"/>
      <c r="DW248" s="97"/>
      <c r="DX248" s="97"/>
      <c r="DY248" s="97"/>
      <c r="DZ248" s="97"/>
      <c r="EA248" s="97"/>
      <c r="EB248" s="97"/>
      <c r="EC248" s="97"/>
      <c r="ED248" s="97"/>
      <c r="EE248" s="97"/>
      <c r="EF248" s="97"/>
      <c r="EG248" s="97"/>
      <c r="EH248" s="97"/>
      <c r="EI248" s="97"/>
      <c r="EJ248" s="97"/>
      <c r="EK248" s="97"/>
      <c r="EL248" s="97"/>
      <c r="EM248" s="97"/>
      <c r="EN248" s="97"/>
      <c r="EO248" s="97"/>
      <c r="EP248" s="97"/>
      <c r="EQ248" s="97"/>
      <c r="ER248" s="97"/>
      <c r="ES248" s="97"/>
      <c r="ET248" s="97"/>
      <c r="EU248" s="97"/>
      <c r="EV248" s="97"/>
      <c r="EW248" s="97"/>
      <c r="EX248" s="97"/>
      <c r="EY248" s="97"/>
      <c r="EZ248" s="97"/>
      <c r="FA248" s="97"/>
      <c r="FB248" s="97"/>
      <c r="FC248" s="97"/>
      <c r="FD248" s="97"/>
      <c r="FE248" s="97"/>
      <c r="FF248" s="97"/>
      <c r="FG248" s="97"/>
      <c r="FH248" s="97"/>
      <c r="FI248" s="97"/>
      <c r="FJ248" s="97"/>
      <c r="FK248" s="97"/>
      <c r="FL248" s="97"/>
      <c r="FM248" s="97"/>
      <c r="FN248" s="97"/>
      <c r="FO248" s="97"/>
      <c r="FP248" s="97"/>
      <c r="FQ248" s="97"/>
      <c r="FR248" s="97"/>
      <c r="FS248" s="97"/>
      <c r="FT248" s="97"/>
      <c r="FU248" s="97"/>
    </row>
    <row r="249" spans="10:177" s="1" customFormat="1" ht="15.75">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c r="DQ249" s="97"/>
      <c r="DR249" s="97"/>
      <c r="DS249" s="97"/>
      <c r="DT249" s="97"/>
      <c r="DU249" s="97"/>
      <c r="DV249" s="97"/>
      <c r="DW249" s="97"/>
      <c r="DX249" s="97"/>
      <c r="DY249" s="97"/>
      <c r="DZ249" s="97"/>
      <c r="EA249" s="97"/>
      <c r="EB249" s="97"/>
      <c r="EC249" s="97"/>
      <c r="ED249" s="97"/>
      <c r="EE249" s="97"/>
      <c r="EF249" s="97"/>
      <c r="EG249" s="97"/>
      <c r="EH249" s="97"/>
      <c r="EI249" s="97"/>
      <c r="EJ249" s="97"/>
      <c r="EK249" s="97"/>
      <c r="EL249" s="97"/>
      <c r="EM249" s="97"/>
      <c r="EN249" s="97"/>
      <c r="EO249" s="97"/>
      <c r="EP249" s="97"/>
      <c r="EQ249" s="97"/>
      <c r="ER249" s="97"/>
      <c r="ES249" s="97"/>
      <c r="ET249" s="97"/>
      <c r="EU249" s="97"/>
      <c r="EV249" s="97"/>
      <c r="EW249" s="97"/>
      <c r="EX249" s="97"/>
      <c r="EY249" s="97"/>
      <c r="EZ249" s="97"/>
      <c r="FA249" s="97"/>
      <c r="FB249" s="97"/>
      <c r="FC249" s="97"/>
      <c r="FD249" s="97"/>
      <c r="FE249" s="97"/>
      <c r="FF249" s="97"/>
      <c r="FG249" s="97"/>
      <c r="FH249" s="97"/>
      <c r="FI249" s="97"/>
      <c r="FJ249" s="97"/>
      <c r="FK249" s="97"/>
      <c r="FL249" s="97"/>
      <c r="FM249" s="97"/>
      <c r="FN249" s="97"/>
      <c r="FO249" s="97"/>
      <c r="FP249" s="97"/>
      <c r="FQ249" s="97"/>
      <c r="FR249" s="97"/>
      <c r="FS249" s="97"/>
      <c r="FT249" s="97"/>
      <c r="FU249" s="97"/>
    </row>
    <row r="250" spans="10:177" s="1" customFormat="1" ht="15.75">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c r="DQ250" s="97"/>
      <c r="DR250" s="97"/>
      <c r="DS250" s="97"/>
      <c r="DT250" s="97"/>
      <c r="DU250" s="97"/>
      <c r="DV250" s="97"/>
      <c r="DW250" s="97"/>
      <c r="DX250" s="97"/>
      <c r="DY250" s="97"/>
      <c r="DZ250" s="97"/>
      <c r="EA250" s="97"/>
      <c r="EB250" s="97"/>
      <c r="EC250" s="97"/>
      <c r="ED250" s="97"/>
      <c r="EE250" s="97"/>
      <c r="EF250" s="97"/>
      <c r="EG250" s="97"/>
      <c r="EH250" s="97"/>
      <c r="EI250" s="97"/>
      <c r="EJ250" s="97"/>
      <c r="EK250" s="97"/>
      <c r="EL250" s="97"/>
      <c r="EM250" s="97"/>
      <c r="EN250" s="97"/>
      <c r="EO250" s="97"/>
      <c r="EP250" s="97"/>
      <c r="EQ250" s="97"/>
      <c r="ER250" s="97"/>
      <c r="ES250" s="97"/>
      <c r="ET250" s="97"/>
      <c r="EU250" s="97"/>
      <c r="EV250" s="97"/>
      <c r="EW250" s="97"/>
      <c r="EX250" s="97"/>
      <c r="EY250" s="97"/>
      <c r="EZ250" s="97"/>
      <c r="FA250" s="97"/>
      <c r="FB250" s="97"/>
      <c r="FC250" s="97"/>
      <c r="FD250" s="97"/>
      <c r="FE250" s="97"/>
      <c r="FF250" s="97"/>
      <c r="FG250" s="97"/>
      <c r="FH250" s="97"/>
      <c r="FI250" s="97"/>
      <c r="FJ250" s="97"/>
      <c r="FK250" s="97"/>
      <c r="FL250" s="97"/>
      <c r="FM250" s="97"/>
      <c r="FN250" s="97"/>
      <c r="FO250" s="97"/>
      <c r="FP250" s="97"/>
      <c r="FQ250" s="97"/>
      <c r="FR250" s="97"/>
      <c r="FS250" s="97"/>
      <c r="FT250" s="97"/>
      <c r="FU250" s="97"/>
    </row>
    <row r="251" spans="10:177" s="1" customFormat="1" ht="15.75">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97"/>
      <c r="DJ251" s="97"/>
      <c r="DK251" s="97"/>
      <c r="DL251" s="97"/>
      <c r="DM251" s="97"/>
      <c r="DN251" s="97"/>
      <c r="DO251" s="97"/>
      <c r="DP251" s="97"/>
      <c r="DQ251" s="97"/>
      <c r="DR251" s="97"/>
      <c r="DS251" s="97"/>
      <c r="DT251" s="97"/>
      <c r="DU251" s="97"/>
      <c r="DV251" s="97"/>
      <c r="DW251" s="97"/>
      <c r="DX251" s="97"/>
      <c r="DY251" s="97"/>
      <c r="DZ251" s="97"/>
      <c r="EA251" s="97"/>
      <c r="EB251" s="97"/>
      <c r="EC251" s="97"/>
      <c r="ED251" s="97"/>
      <c r="EE251" s="97"/>
      <c r="EF251" s="97"/>
      <c r="EG251" s="97"/>
      <c r="EH251" s="97"/>
      <c r="EI251" s="97"/>
      <c r="EJ251" s="97"/>
      <c r="EK251" s="97"/>
      <c r="EL251" s="97"/>
      <c r="EM251" s="97"/>
      <c r="EN251" s="97"/>
      <c r="EO251" s="97"/>
      <c r="EP251" s="97"/>
      <c r="EQ251" s="97"/>
      <c r="ER251" s="97"/>
      <c r="ES251" s="97"/>
      <c r="ET251" s="97"/>
      <c r="EU251" s="97"/>
      <c r="EV251" s="97"/>
      <c r="EW251" s="97"/>
      <c r="EX251" s="97"/>
      <c r="EY251" s="97"/>
      <c r="EZ251" s="97"/>
      <c r="FA251" s="97"/>
      <c r="FB251" s="97"/>
      <c r="FC251" s="97"/>
      <c r="FD251" s="97"/>
      <c r="FE251" s="97"/>
      <c r="FF251" s="97"/>
      <c r="FG251" s="97"/>
      <c r="FH251" s="97"/>
      <c r="FI251" s="97"/>
      <c r="FJ251" s="97"/>
      <c r="FK251" s="97"/>
      <c r="FL251" s="97"/>
      <c r="FM251" s="97"/>
      <c r="FN251" s="97"/>
      <c r="FO251" s="97"/>
      <c r="FP251" s="97"/>
      <c r="FQ251" s="97"/>
      <c r="FR251" s="97"/>
      <c r="FS251" s="97"/>
      <c r="FT251" s="97"/>
      <c r="FU251" s="97"/>
    </row>
    <row r="252" spans="10:177" s="1" customFormat="1" ht="15.75">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c r="CY252" s="97"/>
      <c r="CZ252" s="97"/>
      <c r="DA252" s="97"/>
      <c r="DB252" s="97"/>
      <c r="DC252" s="97"/>
      <c r="DD252" s="97"/>
      <c r="DE252" s="97"/>
      <c r="DF252" s="97"/>
      <c r="DG252" s="97"/>
      <c r="DH252" s="97"/>
      <c r="DI252" s="97"/>
      <c r="DJ252" s="97"/>
      <c r="DK252" s="97"/>
      <c r="DL252" s="97"/>
      <c r="DM252" s="97"/>
      <c r="DN252" s="97"/>
      <c r="DO252" s="97"/>
      <c r="DP252" s="97"/>
      <c r="DQ252" s="97"/>
      <c r="DR252" s="97"/>
      <c r="DS252" s="97"/>
      <c r="DT252" s="97"/>
      <c r="DU252" s="97"/>
      <c r="DV252" s="97"/>
      <c r="DW252" s="97"/>
      <c r="DX252" s="97"/>
      <c r="DY252" s="97"/>
      <c r="DZ252" s="97"/>
      <c r="EA252" s="97"/>
      <c r="EB252" s="97"/>
      <c r="EC252" s="97"/>
      <c r="ED252" s="97"/>
      <c r="EE252" s="97"/>
      <c r="EF252" s="97"/>
      <c r="EG252" s="97"/>
      <c r="EH252" s="97"/>
      <c r="EI252" s="97"/>
      <c r="EJ252" s="97"/>
      <c r="EK252" s="97"/>
      <c r="EL252" s="97"/>
      <c r="EM252" s="97"/>
      <c r="EN252" s="97"/>
      <c r="EO252" s="97"/>
      <c r="EP252" s="97"/>
      <c r="EQ252" s="97"/>
      <c r="ER252" s="97"/>
      <c r="ES252" s="97"/>
      <c r="ET252" s="97"/>
      <c r="EU252" s="97"/>
      <c r="EV252" s="97"/>
      <c r="EW252" s="97"/>
      <c r="EX252" s="97"/>
      <c r="EY252" s="97"/>
      <c r="EZ252" s="97"/>
      <c r="FA252" s="97"/>
      <c r="FB252" s="97"/>
      <c r="FC252" s="97"/>
      <c r="FD252" s="97"/>
      <c r="FE252" s="97"/>
      <c r="FF252" s="97"/>
      <c r="FG252" s="97"/>
      <c r="FH252" s="97"/>
      <c r="FI252" s="97"/>
      <c r="FJ252" s="97"/>
      <c r="FK252" s="97"/>
      <c r="FL252" s="97"/>
      <c r="FM252" s="97"/>
      <c r="FN252" s="97"/>
      <c r="FO252" s="97"/>
      <c r="FP252" s="97"/>
      <c r="FQ252" s="97"/>
      <c r="FR252" s="97"/>
      <c r="FS252" s="97"/>
      <c r="FT252" s="97"/>
      <c r="FU252" s="97"/>
    </row>
    <row r="253" spans="10:177" s="1" customFormat="1" ht="15.75">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c r="DQ253" s="97"/>
      <c r="DR253" s="97"/>
      <c r="DS253" s="97"/>
      <c r="DT253" s="97"/>
      <c r="DU253" s="97"/>
      <c r="DV253" s="97"/>
      <c r="DW253" s="97"/>
      <c r="DX253" s="97"/>
      <c r="DY253" s="97"/>
      <c r="DZ253" s="97"/>
      <c r="EA253" s="97"/>
      <c r="EB253" s="97"/>
      <c r="EC253" s="97"/>
      <c r="ED253" s="97"/>
      <c r="EE253" s="97"/>
      <c r="EF253" s="97"/>
      <c r="EG253" s="97"/>
      <c r="EH253" s="97"/>
      <c r="EI253" s="97"/>
      <c r="EJ253" s="97"/>
      <c r="EK253" s="97"/>
      <c r="EL253" s="97"/>
      <c r="EM253" s="97"/>
      <c r="EN253" s="97"/>
      <c r="EO253" s="97"/>
      <c r="EP253" s="97"/>
      <c r="EQ253" s="97"/>
      <c r="ER253" s="97"/>
      <c r="ES253" s="97"/>
      <c r="ET253" s="97"/>
      <c r="EU253" s="97"/>
      <c r="EV253" s="97"/>
      <c r="EW253" s="97"/>
      <c r="EX253" s="97"/>
      <c r="EY253" s="97"/>
      <c r="EZ253" s="97"/>
      <c r="FA253" s="97"/>
      <c r="FB253" s="97"/>
      <c r="FC253" s="97"/>
      <c r="FD253" s="97"/>
      <c r="FE253" s="97"/>
      <c r="FF253" s="97"/>
      <c r="FG253" s="97"/>
      <c r="FH253" s="97"/>
      <c r="FI253" s="97"/>
      <c r="FJ253" s="97"/>
      <c r="FK253" s="97"/>
      <c r="FL253" s="97"/>
      <c r="FM253" s="97"/>
      <c r="FN253" s="97"/>
      <c r="FO253" s="97"/>
      <c r="FP253" s="97"/>
      <c r="FQ253" s="97"/>
      <c r="FR253" s="97"/>
      <c r="FS253" s="97"/>
      <c r="FT253" s="97"/>
      <c r="FU253" s="97"/>
    </row>
    <row r="254" spans="10:177" s="1" customFormat="1" ht="15.75">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c r="DQ254" s="97"/>
      <c r="DR254" s="97"/>
      <c r="DS254" s="97"/>
      <c r="DT254" s="97"/>
      <c r="DU254" s="97"/>
      <c r="DV254" s="97"/>
      <c r="DW254" s="97"/>
      <c r="DX254" s="97"/>
      <c r="DY254" s="97"/>
      <c r="DZ254" s="97"/>
      <c r="EA254" s="97"/>
      <c r="EB254" s="97"/>
      <c r="EC254" s="97"/>
      <c r="ED254" s="97"/>
      <c r="EE254" s="97"/>
      <c r="EF254" s="97"/>
      <c r="EG254" s="97"/>
      <c r="EH254" s="97"/>
      <c r="EI254" s="97"/>
      <c r="EJ254" s="97"/>
      <c r="EK254" s="97"/>
      <c r="EL254" s="97"/>
      <c r="EM254" s="97"/>
      <c r="EN254" s="97"/>
      <c r="EO254" s="97"/>
      <c r="EP254" s="97"/>
      <c r="EQ254" s="97"/>
      <c r="ER254" s="97"/>
      <c r="ES254" s="97"/>
      <c r="ET254" s="97"/>
      <c r="EU254" s="97"/>
      <c r="EV254" s="97"/>
      <c r="EW254" s="97"/>
      <c r="EX254" s="97"/>
      <c r="EY254" s="97"/>
      <c r="EZ254" s="97"/>
      <c r="FA254" s="97"/>
      <c r="FB254" s="97"/>
      <c r="FC254" s="97"/>
      <c r="FD254" s="97"/>
      <c r="FE254" s="97"/>
      <c r="FF254" s="97"/>
      <c r="FG254" s="97"/>
      <c r="FH254" s="97"/>
      <c r="FI254" s="97"/>
      <c r="FJ254" s="97"/>
      <c r="FK254" s="97"/>
      <c r="FL254" s="97"/>
      <c r="FM254" s="97"/>
      <c r="FN254" s="97"/>
      <c r="FO254" s="97"/>
      <c r="FP254" s="97"/>
      <c r="FQ254" s="97"/>
      <c r="FR254" s="97"/>
      <c r="FS254" s="97"/>
      <c r="FT254" s="97"/>
      <c r="FU254" s="97"/>
    </row>
    <row r="255" spans="10:177" s="1" customFormat="1" ht="15.75">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97"/>
      <c r="DJ255" s="97"/>
      <c r="DK255" s="97"/>
      <c r="DL255" s="97"/>
      <c r="DM255" s="97"/>
      <c r="DN255" s="97"/>
      <c r="DO255" s="97"/>
      <c r="DP255" s="97"/>
      <c r="DQ255" s="97"/>
      <c r="DR255" s="97"/>
      <c r="DS255" s="97"/>
      <c r="DT255" s="97"/>
      <c r="DU255" s="97"/>
      <c r="DV255" s="97"/>
      <c r="DW255" s="97"/>
      <c r="DX255" s="97"/>
      <c r="DY255" s="97"/>
      <c r="DZ255" s="97"/>
      <c r="EA255" s="97"/>
      <c r="EB255" s="97"/>
      <c r="EC255" s="97"/>
      <c r="ED255" s="97"/>
      <c r="EE255" s="97"/>
      <c r="EF255" s="97"/>
      <c r="EG255" s="97"/>
      <c r="EH255" s="97"/>
      <c r="EI255" s="97"/>
      <c r="EJ255" s="97"/>
      <c r="EK255" s="97"/>
      <c r="EL255" s="97"/>
      <c r="EM255" s="97"/>
      <c r="EN255" s="97"/>
      <c r="EO255" s="97"/>
      <c r="EP255" s="97"/>
      <c r="EQ255" s="97"/>
      <c r="ER255" s="97"/>
      <c r="ES255" s="97"/>
      <c r="ET255" s="97"/>
      <c r="EU255" s="97"/>
      <c r="EV255" s="97"/>
      <c r="EW255" s="97"/>
      <c r="EX255" s="97"/>
      <c r="EY255" s="97"/>
      <c r="EZ255" s="97"/>
      <c r="FA255" s="97"/>
      <c r="FB255" s="97"/>
      <c r="FC255" s="97"/>
      <c r="FD255" s="97"/>
      <c r="FE255" s="97"/>
      <c r="FF255" s="97"/>
      <c r="FG255" s="97"/>
      <c r="FH255" s="97"/>
      <c r="FI255" s="97"/>
      <c r="FJ255" s="97"/>
      <c r="FK255" s="97"/>
      <c r="FL255" s="97"/>
      <c r="FM255" s="97"/>
      <c r="FN255" s="97"/>
      <c r="FO255" s="97"/>
      <c r="FP255" s="97"/>
      <c r="FQ255" s="97"/>
      <c r="FR255" s="97"/>
      <c r="FS255" s="97"/>
      <c r="FT255" s="97"/>
      <c r="FU255" s="97"/>
    </row>
    <row r="256" spans="10:177" s="1" customFormat="1" ht="15.75">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c r="CY256" s="97"/>
      <c r="CZ256" s="97"/>
      <c r="DA256" s="97"/>
      <c r="DB256" s="97"/>
      <c r="DC256" s="97"/>
      <c r="DD256" s="97"/>
      <c r="DE256" s="97"/>
      <c r="DF256" s="97"/>
      <c r="DG256" s="97"/>
      <c r="DH256" s="97"/>
      <c r="DI256" s="97"/>
      <c r="DJ256" s="97"/>
      <c r="DK256" s="97"/>
      <c r="DL256" s="97"/>
      <c r="DM256" s="97"/>
      <c r="DN256" s="97"/>
      <c r="DO256" s="97"/>
      <c r="DP256" s="97"/>
      <c r="DQ256" s="97"/>
      <c r="DR256" s="97"/>
      <c r="DS256" s="97"/>
      <c r="DT256" s="97"/>
      <c r="DU256" s="97"/>
      <c r="DV256" s="97"/>
      <c r="DW256" s="97"/>
      <c r="DX256" s="97"/>
      <c r="DY256" s="97"/>
      <c r="DZ256" s="97"/>
      <c r="EA256" s="97"/>
      <c r="EB256" s="97"/>
      <c r="EC256" s="97"/>
      <c r="ED256" s="97"/>
      <c r="EE256" s="97"/>
      <c r="EF256" s="97"/>
      <c r="EG256" s="97"/>
      <c r="EH256" s="97"/>
      <c r="EI256" s="97"/>
      <c r="EJ256" s="97"/>
      <c r="EK256" s="97"/>
      <c r="EL256" s="97"/>
      <c r="EM256" s="97"/>
      <c r="EN256" s="97"/>
      <c r="EO256" s="97"/>
      <c r="EP256" s="97"/>
      <c r="EQ256" s="97"/>
      <c r="ER256" s="97"/>
      <c r="ES256" s="97"/>
      <c r="ET256" s="97"/>
      <c r="EU256" s="97"/>
      <c r="EV256" s="97"/>
      <c r="EW256" s="97"/>
      <c r="EX256" s="97"/>
      <c r="EY256" s="97"/>
      <c r="EZ256" s="97"/>
      <c r="FA256" s="97"/>
      <c r="FB256" s="97"/>
      <c r="FC256" s="97"/>
      <c r="FD256" s="97"/>
      <c r="FE256" s="97"/>
      <c r="FF256" s="97"/>
      <c r="FG256" s="97"/>
      <c r="FH256" s="97"/>
      <c r="FI256" s="97"/>
      <c r="FJ256" s="97"/>
      <c r="FK256" s="97"/>
      <c r="FL256" s="97"/>
      <c r="FM256" s="97"/>
      <c r="FN256" s="97"/>
      <c r="FO256" s="97"/>
      <c r="FP256" s="97"/>
      <c r="FQ256" s="97"/>
      <c r="FR256" s="97"/>
      <c r="FS256" s="97"/>
      <c r="FT256" s="97"/>
      <c r="FU256" s="97"/>
    </row>
    <row r="257" spans="10:177" s="1" customFormat="1" ht="15.75">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c r="CY257" s="97"/>
      <c r="CZ257" s="97"/>
      <c r="DA257" s="97"/>
      <c r="DB257" s="97"/>
      <c r="DC257" s="97"/>
      <c r="DD257" s="97"/>
      <c r="DE257" s="97"/>
      <c r="DF257" s="97"/>
      <c r="DG257" s="97"/>
      <c r="DH257" s="97"/>
      <c r="DI257" s="97"/>
      <c r="DJ257" s="97"/>
      <c r="DK257" s="97"/>
      <c r="DL257" s="97"/>
      <c r="DM257" s="97"/>
      <c r="DN257" s="97"/>
      <c r="DO257" s="97"/>
      <c r="DP257" s="97"/>
      <c r="DQ257" s="97"/>
      <c r="DR257" s="97"/>
      <c r="DS257" s="97"/>
      <c r="DT257" s="97"/>
      <c r="DU257" s="97"/>
      <c r="DV257" s="97"/>
      <c r="DW257" s="97"/>
      <c r="DX257" s="97"/>
      <c r="DY257" s="97"/>
      <c r="DZ257" s="97"/>
      <c r="EA257" s="97"/>
      <c r="EB257" s="97"/>
      <c r="EC257" s="97"/>
      <c r="ED257" s="97"/>
      <c r="EE257" s="97"/>
      <c r="EF257" s="97"/>
      <c r="EG257" s="97"/>
      <c r="EH257" s="97"/>
      <c r="EI257" s="97"/>
      <c r="EJ257" s="97"/>
      <c r="EK257" s="97"/>
      <c r="EL257" s="97"/>
      <c r="EM257" s="97"/>
      <c r="EN257" s="97"/>
      <c r="EO257" s="97"/>
      <c r="EP257" s="97"/>
      <c r="EQ257" s="97"/>
      <c r="ER257" s="97"/>
      <c r="ES257" s="97"/>
      <c r="ET257" s="97"/>
      <c r="EU257" s="97"/>
      <c r="EV257" s="97"/>
      <c r="EW257" s="97"/>
      <c r="EX257" s="97"/>
      <c r="EY257" s="97"/>
      <c r="EZ257" s="97"/>
      <c r="FA257" s="97"/>
      <c r="FB257" s="97"/>
      <c r="FC257" s="97"/>
      <c r="FD257" s="97"/>
      <c r="FE257" s="97"/>
      <c r="FF257" s="97"/>
      <c r="FG257" s="97"/>
      <c r="FH257" s="97"/>
      <c r="FI257" s="97"/>
      <c r="FJ257" s="97"/>
      <c r="FK257" s="97"/>
      <c r="FL257" s="97"/>
      <c r="FM257" s="97"/>
      <c r="FN257" s="97"/>
      <c r="FO257" s="97"/>
      <c r="FP257" s="97"/>
      <c r="FQ257" s="97"/>
      <c r="FR257" s="97"/>
      <c r="FS257" s="97"/>
      <c r="FT257" s="97"/>
      <c r="FU257" s="97"/>
    </row>
    <row r="258" spans="10:177" s="1" customFormat="1" ht="15.75">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c r="CY258" s="97"/>
      <c r="CZ258" s="97"/>
      <c r="DA258" s="97"/>
      <c r="DB258" s="97"/>
      <c r="DC258" s="97"/>
      <c r="DD258" s="97"/>
      <c r="DE258" s="97"/>
      <c r="DF258" s="97"/>
      <c r="DG258" s="97"/>
      <c r="DH258" s="97"/>
      <c r="DI258" s="97"/>
      <c r="DJ258" s="97"/>
      <c r="DK258" s="97"/>
      <c r="DL258" s="97"/>
      <c r="DM258" s="97"/>
      <c r="DN258" s="97"/>
      <c r="DO258" s="97"/>
      <c r="DP258" s="97"/>
      <c r="DQ258" s="97"/>
      <c r="DR258" s="97"/>
      <c r="DS258" s="97"/>
      <c r="DT258" s="97"/>
      <c r="DU258" s="97"/>
      <c r="DV258" s="97"/>
      <c r="DW258" s="97"/>
      <c r="DX258" s="97"/>
      <c r="DY258" s="97"/>
      <c r="DZ258" s="97"/>
      <c r="EA258" s="97"/>
      <c r="EB258" s="97"/>
      <c r="EC258" s="97"/>
      <c r="ED258" s="97"/>
      <c r="EE258" s="97"/>
      <c r="EF258" s="97"/>
      <c r="EG258" s="97"/>
      <c r="EH258" s="97"/>
      <c r="EI258" s="97"/>
      <c r="EJ258" s="97"/>
      <c r="EK258" s="97"/>
      <c r="EL258" s="97"/>
      <c r="EM258" s="97"/>
      <c r="EN258" s="97"/>
      <c r="EO258" s="97"/>
      <c r="EP258" s="97"/>
      <c r="EQ258" s="97"/>
      <c r="ER258" s="97"/>
      <c r="ES258" s="97"/>
      <c r="ET258" s="97"/>
      <c r="EU258" s="97"/>
      <c r="EV258" s="97"/>
      <c r="EW258" s="97"/>
      <c r="EX258" s="97"/>
      <c r="EY258" s="97"/>
      <c r="EZ258" s="97"/>
      <c r="FA258" s="97"/>
      <c r="FB258" s="97"/>
      <c r="FC258" s="97"/>
      <c r="FD258" s="97"/>
      <c r="FE258" s="97"/>
      <c r="FF258" s="97"/>
      <c r="FG258" s="97"/>
      <c r="FH258" s="97"/>
      <c r="FI258" s="97"/>
      <c r="FJ258" s="97"/>
      <c r="FK258" s="97"/>
      <c r="FL258" s="97"/>
      <c r="FM258" s="97"/>
      <c r="FN258" s="97"/>
      <c r="FO258" s="97"/>
      <c r="FP258" s="97"/>
      <c r="FQ258" s="97"/>
      <c r="FR258" s="97"/>
      <c r="FS258" s="97"/>
      <c r="FT258" s="97"/>
      <c r="FU258" s="97"/>
    </row>
    <row r="259" spans="10:177" s="1" customFormat="1" ht="15.75">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c r="DW259" s="97"/>
      <c r="DX259" s="97"/>
      <c r="DY259" s="97"/>
      <c r="DZ259" s="97"/>
      <c r="EA259" s="97"/>
      <c r="EB259" s="97"/>
      <c r="EC259" s="97"/>
      <c r="ED259" s="97"/>
      <c r="EE259" s="97"/>
      <c r="EF259" s="97"/>
      <c r="EG259" s="97"/>
      <c r="EH259" s="97"/>
      <c r="EI259" s="97"/>
      <c r="EJ259" s="97"/>
      <c r="EK259" s="97"/>
      <c r="EL259" s="97"/>
      <c r="EM259" s="97"/>
      <c r="EN259" s="97"/>
      <c r="EO259" s="97"/>
      <c r="EP259" s="97"/>
      <c r="EQ259" s="97"/>
      <c r="ER259" s="97"/>
      <c r="ES259" s="97"/>
      <c r="ET259" s="97"/>
      <c r="EU259" s="97"/>
      <c r="EV259" s="97"/>
      <c r="EW259" s="97"/>
      <c r="EX259" s="97"/>
      <c r="EY259" s="97"/>
      <c r="EZ259" s="97"/>
      <c r="FA259" s="97"/>
      <c r="FB259" s="97"/>
      <c r="FC259" s="97"/>
      <c r="FD259" s="97"/>
      <c r="FE259" s="97"/>
      <c r="FF259" s="97"/>
      <c r="FG259" s="97"/>
      <c r="FH259" s="97"/>
      <c r="FI259" s="97"/>
      <c r="FJ259" s="97"/>
      <c r="FK259" s="97"/>
      <c r="FL259" s="97"/>
      <c r="FM259" s="97"/>
      <c r="FN259" s="97"/>
      <c r="FO259" s="97"/>
      <c r="FP259" s="97"/>
      <c r="FQ259" s="97"/>
      <c r="FR259" s="97"/>
      <c r="FS259" s="97"/>
      <c r="FT259" s="97"/>
      <c r="FU259" s="97"/>
    </row>
    <row r="260" spans="10:177" s="1" customFormat="1" ht="15.75">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c r="DQ260" s="97"/>
      <c r="DR260" s="97"/>
      <c r="DS260" s="97"/>
      <c r="DT260" s="97"/>
      <c r="DU260" s="97"/>
      <c r="DV260" s="97"/>
      <c r="DW260" s="97"/>
      <c r="DX260" s="97"/>
      <c r="DY260" s="97"/>
      <c r="DZ260" s="97"/>
      <c r="EA260" s="97"/>
      <c r="EB260" s="97"/>
      <c r="EC260" s="97"/>
      <c r="ED260" s="97"/>
      <c r="EE260" s="97"/>
      <c r="EF260" s="97"/>
      <c r="EG260" s="97"/>
      <c r="EH260" s="97"/>
      <c r="EI260" s="97"/>
      <c r="EJ260" s="97"/>
      <c r="EK260" s="97"/>
      <c r="EL260" s="97"/>
      <c r="EM260" s="97"/>
      <c r="EN260" s="97"/>
      <c r="EO260" s="97"/>
      <c r="EP260" s="97"/>
      <c r="EQ260" s="97"/>
      <c r="ER260" s="97"/>
      <c r="ES260" s="97"/>
      <c r="ET260" s="97"/>
      <c r="EU260" s="97"/>
      <c r="EV260" s="97"/>
      <c r="EW260" s="97"/>
      <c r="EX260" s="97"/>
      <c r="EY260" s="97"/>
      <c r="EZ260" s="97"/>
      <c r="FA260" s="97"/>
      <c r="FB260" s="97"/>
      <c r="FC260" s="97"/>
      <c r="FD260" s="97"/>
      <c r="FE260" s="97"/>
      <c r="FF260" s="97"/>
      <c r="FG260" s="97"/>
      <c r="FH260" s="97"/>
      <c r="FI260" s="97"/>
      <c r="FJ260" s="97"/>
      <c r="FK260" s="97"/>
      <c r="FL260" s="97"/>
      <c r="FM260" s="97"/>
      <c r="FN260" s="97"/>
      <c r="FO260" s="97"/>
      <c r="FP260" s="97"/>
      <c r="FQ260" s="97"/>
      <c r="FR260" s="97"/>
      <c r="FS260" s="97"/>
      <c r="FT260" s="97"/>
      <c r="FU260" s="97"/>
    </row>
    <row r="261" spans="10:177" s="1" customFormat="1" ht="15.75">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c r="CY261" s="97"/>
      <c r="CZ261" s="97"/>
      <c r="DA261" s="97"/>
      <c r="DB261" s="97"/>
      <c r="DC261" s="97"/>
      <c r="DD261" s="97"/>
      <c r="DE261" s="97"/>
      <c r="DF261" s="97"/>
      <c r="DG261" s="97"/>
      <c r="DH261" s="97"/>
      <c r="DI261" s="97"/>
      <c r="DJ261" s="97"/>
      <c r="DK261" s="97"/>
      <c r="DL261" s="97"/>
      <c r="DM261" s="97"/>
      <c r="DN261" s="97"/>
      <c r="DO261" s="97"/>
      <c r="DP261" s="97"/>
      <c r="DQ261" s="97"/>
      <c r="DR261" s="97"/>
      <c r="DS261" s="97"/>
      <c r="DT261" s="97"/>
      <c r="DU261" s="97"/>
      <c r="DV261" s="97"/>
      <c r="DW261" s="97"/>
      <c r="DX261" s="97"/>
      <c r="DY261" s="97"/>
      <c r="DZ261" s="97"/>
      <c r="EA261" s="97"/>
      <c r="EB261" s="97"/>
      <c r="EC261" s="97"/>
      <c r="ED261" s="97"/>
      <c r="EE261" s="97"/>
      <c r="EF261" s="97"/>
      <c r="EG261" s="97"/>
      <c r="EH261" s="97"/>
      <c r="EI261" s="97"/>
      <c r="EJ261" s="97"/>
      <c r="EK261" s="97"/>
      <c r="EL261" s="97"/>
      <c r="EM261" s="97"/>
      <c r="EN261" s="97"/>
      <c r="EO261" s="97"/>
      <c r="EP261" s="97"/>
      <c r="EQ261" s="97"/>
      <c r="ER261" s="97"/>
      <c r="ES261" s="97"/>
      <c r="ET261" s="97"/>
      <c r="EU261" s="97"/>
      <c r="EV261" s="97"/>
      <c r="EW261" s="97"/>
      <c r="EX261" s="97"/>
      <c r="EY261" s="97"/>
      <c r="EZ261" s="97"/>
      <c r="FA261" s="97"/>
      <c r="FB261" s="97"/>
      <c r="FC261" s="97"/>
      <c r="FD261" s="97"/>
      <c r="FE261" s="97"/>
      <c r="FF261" s="97"/>
      <c r="FG261" s="97"/>
      <c r="FH261" s="97"/>
      <c r="FI261" s="97"/>
      <c r="FJ261" s="97"/>
      <c r="FK261" s="97"/>
      <c r="FL261" s="97"/>
      <c r="FM261" s="97"/>
      <c r="FN261" s="97"/>
      <c r="FO261" s="97"/>
      <c r="FP261" s="97"/>
      <c r="FQ261" s="97"/>
      <c r="FR261" s="97"/>
      <c r="FS261" s="97"/>
      <c r="FT261" s="97"/>
      <c r="FU261" s="97"/>
    </row>
    <row r="262" spans="10:177" s="1" customFormat="1" ht="15.75">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c r="CY262" s="97"/>
      <c r="CZ262" s="97"/>
      <c r="DA262" s="97"/>
      <c r="DB262" s="97"/>
      <c r="DC262" s="97"/>
      <c r="DD262" s="97"/>
      <c r="DE262" s="97"/>
      <c r="DF262" s="97"/>
      <c r="DG262" s="97"/>
      <c r="DH262" s="97"/>
      <c r="DI262" s="97"/>
      <c r="DJ262" s="97"/>
      <c r="DK262" s="97"/>
      <c r="DL262" s="97"/>
      <c r="DM262" s="97"/>
      <c r="DN262" s="97"/>
      <c r="DO262" s="97"/>
      <c r="DP262" s="97"/>
      <c r="DQ262" s="97"/>
      <c r="DR262" s="97"/>
      <c r="DS262" s="97"/>
      <c r="DT262" s="97"/>
      <c r="DU262" s="97"/>
      <c r="DV262" s="97"/>
      <c r="DW262" s="97"/>
      <c r="DX262" s="97"/>
      <c r="DY262" s="97"/>
      <c r="DZ262" s="97"/>
      <c r="EA262" s="97"/>
      <c r="EB262" s="97"/>
      <c r="EC262" s="97"/>
      <c r="ED262" s="97"/>
      <c r="EE262" s="97"/>
      <c r="EF262" s="97"/>
      <c r="EG262" s="97"/>
      <c r="EH262" s="97"/>
      <c r="EI262" s="97"/>
      <c r="EJ262" s="97"/>
      <c r="EK262" s="97"/>
      <c r="EL262" s="97"/>
      <c r="EM262" s="97"/>
      <c r="EN262" s="97"/>
      <c r="EO262" s="97"/>
      <c r="EP262" s="97"/>
      <c r="EQ262" s="97"/>
      <c r="ER262" s="97"/>
      <c r="ES262" s="97"/>
      <c r="ET262" s="97"/>
      <c r="EU262" s="97"/>
      <c r="EV262" s="97"/>
      <c r="EW262" s="97"/>
      <c r="EX262" s="97"/>
      <c r="EY262" s="97"/>
      <c r="EZ262" s="97"/>
      <c r="FA262" s="97"/>
      <c r="FB262" s="97"/>
      <c r="FC262" s="97"/>
      <c r="FD262" s="97"/>
      <c r="FE262" s="97"/>
      <c r="FF262" s="97"/>
      <c r="FG262" s="97"/>
      <c r="FH262" s="97"/>
      <c r="FI262" s="97"/>
      <c r="FJ262" s="97"/>
      <c r="FK262" s="97"/>
      <c r="FL262" s="97"/>
      <c r="FM262" s="97"/>
      <c r="FN262" s="97"/>
      <c r="FO262" s="97"/>
      <c r="FP262" s="97"/>
      <c r="FQ262" s="97"/>
      <c r="FR262" s="97"/>
      <c r="FS262" s="97"/>
      <c r="FT262" s="97"/>
      <c r="FU262" s="97"/>
    </row>
    <row r="263" spans="10:177" s="1" customFormat="1" ht="15.75">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c r="CY263" s="97"/>
      <c r="CZ263" s="97"/>
      <c r="DA263" s="97"/>
      <c r="DB263" s="97"/>
      <c r="DC263" s="97"/>
      <c r="DD263" s="97"/>
      <c r="DE263" s="97"/>
      <c r="DF263" s="97"/>
      <c r="DG263" s="97"/>
      <c r="DH263" s="97"/>
      <c r="DI263" s="97"/>
      <c r="DJ263" s="97"/>
      <c r="DK263" s="97"/>
      <c r="DL263" s="97"/>
      <c r="DM263" s="97"/>
      <c r="DN263" s="97"/>
      <c r="DO263" s="97"/>
      <c r="DP263" s="97"/>
      <c r="DQ263" s="97"/>
      <c r="DR263" s="97"/>
      <c r="DS263" s="97"/>
      <c r="DT263" s="97"/>
      <c r="DU263" s="97"/>
      <c r="DV263" s="97"/>
      <c r="DW263" s="97"/>
      <c r="DX263" s="97"/>
      <c r="DY263" s="97"/>
      <c r="DZ263" s="97"/>
      <c r="EA263" s="97"/>
      <c r="EB263" s="97"/>
      <c r="EC263" s="97"/>
      <c r="ED263" s="97"/>
      <c r="EE263" s="97"/>
      <c r="EF263" s="97"/>
      <c r="EG263" s="97"/>
      <c r="EH263" s="97"/>
      <c r="EI263" s="97"/>
      <c r="EJ263" s="97"/>
      <c r="EK263" s="97"/>
      <c r="EL263" s="97"/>
      <c r="EM263" s="97"/>
      <c r="EN263" s="97"/>
      <c r="EO263" s="97"/>
      <c r="EP263" s="97"/>
      <c r="EQ263" s="97"/>
      <c r="ER263" s="97"/>
      <c r="ES263" s="97"/>
      <c r="ET263" s="97"/>
      <c r="EU263" s="97"/>
      <c r="EV263" s="97"/>
      <c r="EW263" s="97"/>
      <c r="EX263" s="97"/>
      <c r="EY263" s="97"/>
      <c r="EZ263" s="97"/>
      <c r="FA263" s="97"/>
      <c r="FB263" s="97"/>
      <c r="FC263" s="97"/>
      <c r="FD263" s="97"/>
      <c r="FE263" s="97"/>
      <c r="FF263" s="97"/>
      <c r="FG263" s="97"/>
      <c r="FH263" s="97"/>
      <c r="FI263" s="97"/>
      <c r="FJ263" s="97"/>
      <c r="FK263" s="97"/>
      <c r="FL263" s="97"/>
      <c r="FM263" s="97"/>
      <c r="FN263" s="97"/>
      <c r="FO263" s="97"/>
      <c r="FP263" s="97"/>
      <c r="FQ263" s="97"/>
      <c r="FR263" s="97"/>
      <c r="FS263" s="97"/>
      <c r="FT263" s="97"/>
      <c r="FU263" s="97"/>
    </row>
    <row r="264" spans="10:177" s="1" customFormat="1" ht="15.75">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c r="CY264" s="97"/>
      <c r="CZ264" s="97"/>
      <c r="DA264" s="97"/>
      <c r="DB264" s="97"/>
      <c r="DC264" s="97"/>
      <c r="DD264" s="97"/>
      <c r="DE264" s="97"/>
      <c r="DF264" s="97"/>
      <c r="DG264" s="97"/>
      <c r="DH264" s="97"/>
      <c r="DI264" s="97"/>
      <c r="DJ264" s="97"/>
      <c r="DK264" s="97"/>
      <c r="DL264" s="97"/>
      <c r="DM264" s="97"/>
      <c r="DN264" s="97"/>
      <c r="DO264" s="97"/>
      <c r="DP264" s="97"/>
      <c r="DQ264" s="97"/>
      <c r="DR264" s="97"/>
      <c r="DS264" s="97"/>
      <c r="DT264" s="97"/>
      <c r="DU264" s="97"/>
      <c r="DV264" s="97"/>
      <c r="DW264" s="97"/>
      <c r="DX264" s="97"/>
      <c r="DY264" s="97"/>
      <c r="DZ264" s="97"/>
      <c r="EA264" s="97"/>
      <c r="EB264" s="97"/>
      <c r="EC264" s="97"/>
      <c r="ED264" s="97"/>
      <c r="EE264" s="97"/>
      <c r="EF264" s="97"/>
      <c r="EG264" s="97"/>
      <c r="EH264" s="97"/>
      <c r="EI264" s="97"/>
      <c r="EJ264" s="97"/>
      <c r="EK264" s="97"/>
      <c r="EL264" s="97"/>
      <c r="EM264" s="97"/>
      <c r="EN264" s="97"/>
      <c r="EO264" s="97"/>
      <c r="EP264" s="97"/>
      <c r="EQ264" s="97"/>
      <c r="ER264" s="97"/>
      <c r="ES264" s="97"/>
      <c r="ET264" s="97"/>
      <c r="EU264" s="97"/>
      <c r="EV264" s="97"/>
      <c r="EW264" s="97"/>
      <c r="EX264" s="97"/>
      <c r="EY264" s="97"/>
      <c r="EZ264" s="97"/>
      <c r="FA264" s="97"/>
      <c r="FB264" s="97"/>
      <c r="FC264" s="97"/>
      <c r="FD264" s="97"/>
      <c r="FE264" s="97"/>
      <c r="FF264" s="97"/>
      <c r="FG264" s="97"/>
      <c r="FH264" s="97"/>
      <c r="FI264" s="97"/>
      <c r="FJ264" s="97"/>
      <c r="FK264" s="97"/>
      <c r="FL264" s="97"/>
      <c r="FM264" s="97"/>
      <c r="FN264" s="97"/>
      <c r="FO264" s="97"/>
      <c r="FP264" s="97"/>
      <c r="FQ264" s="97"/>
      <c r="FR264" s="97"/>
      <c r="FS264" s="97"/>
      <c r="FT264" s="97"/>
      <c r="FU264" s="97"/>
    </row>
    <row r="265" spans="10:177" s="1" customFormat="1" ht="15.75">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c r="DQ265" s="97"/>
      <c r="DR265" s="97"/>
      <c r="DS265" s="97"/>
      <c r="DT265" s="97"/>
      <c r="DU265" s="97"/>
      <c r="DV265" s="97"/>
      <c r="DW265" s="97"/>
      <c r="DX265" s="97"/>
      <c r="DY265" s="97"/>
      <c r="DZ265" s="97"/>
      <c r="EA265" s="97"/>
      <c r="EB265" s="97"/>
      <c r="EC265" s="97"/>
      <c r="ED265" s="97"/>
      <c r="EE265" s="97"/>
      <c r="EF265" s="97"/>
      <c r="EG265" s="97"/>
      <c r="EH265" s="97"/>
      <c r="EI265" s="97"/>
      <c r="EJ265" s="97"/>
      <c r="EK265" s="97"/>
      <c r="EL265" s="97"/>
      <c r="EM265" s="97"/>
      <c r="EN265" s="97"/>
      <c r="EO265" s="97"/>
      <c r="EP265" s="97"/>
      <c r="EQ265" s="97"/>
      <c r="ER265" s="97"/>
      <c r="ES265" s="97"/>
      <c r="ET265" s="97"/>
      <c r="EU265" s="97"/>
      <c r="EV265" s="97"/>
      <c r="EW265" s="97"/>
      <c r="EX265" s="97"/>
      <c r="EY265" s="97"/>
      <c r="EZ265" s="97"/>
      <c r="FA265" s="97"/>
      <c r="FB265" s="97"/>
      <c r="FC265" s="97"/>
      <c r="FD265" s="97"/>
      <c r="FE265" s="97"/>
      <c r="FF265" s="97"/>
      <c r="FG265" s="97"/>
      <c r="FH265" s="97"/>
      <c r="FI265" s="97"/>
      <c r="FJ265" s="97"/>
      <c r="FK265" s="97"/>
      <c r="FL265" s="97"/>
      <c r="FM265" s="97"/>
      <c r="FN265" s="97"/>
      <c r="FO265" s="97"/>
      <c r="FP265" s="97"/>
      <c r="FQ265" s="97"/>
      <c r="FR265" s="97"/>
      <c r="FS265" s="97"/>
      <c r="FT265" s="97"/>
      <c r="FU265" s="97"/>
    </row>
    <row r="266" spans="10:177" s="1" customFormat="1" ht="15.75">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c r="DW266" s="97"/>
      <c r="DX266" s="97"/>
      <c r="DY266" s="97"/>
      <c r="DZ266" s="97"/>
      <c r="EA266" s="97"/>
      <c r="EB266" s="97"/>
      <c r="EC266" s="97"/>
      <c r="ED266" s="97"/>
      <c r="EE266" s="97"/>
      <c r="EF266" s="97"/>
      <c r="EG266" s="97"/>
      <c r="EH266" s="97"/>
      <c r="EI266" s="97"/>
      <c r="EJ266" s="97"/>
      <c r="EK266" s="97"/>
      <c r="EL266" s="97"/>
      <c r="EM266" s="97"/>
      <c r="EN266" s="97"/>
      <c r="EO266" s="97"/>
      <c r="EP266" s="97"/>
      <c r="EQ266" s="97"/>
      <c r="ER266" s="97"/>
      <c r="ES266" s="97"/>
      <c r="ET266" s="97"/>
      <c r="EU266" s="97"/>
      <c r="EV266" s="97"/>
      <c r="EW266" s="97"/>
      <c r="EX266" s="97"/>
      <c r="EY266" s="97"/>
      <c r="EZ266" s="97"/>
      <c r="FA266" s="97"/>
      <c r="FB266" s="97"/>
      <c r="FC266" s="97"/>
      <c r="FD266" s="97"/>
      <c r="FE266" s="97"/>
      <c r="FF266" s="97"/>
      <c r="FG266" s="97"/>
      <c r="FH266" s="97"/>
      <c r="FI266" s="97"/>
      <c r="FJ266" s="97"/>
      <c r="FK266" s="97"/>
      <c r="FL266" s="97"/>
      <c r="FM266" s="97"/>
      <c r="FN266" s="97"/>
      <c r="FO266" s="97"/>
      <c r="FP266" s="97"/>
      <c r="FQ266" s="97"/>
      <c r="FR266" s="97"/>
      <c r="FS266" s="97"/>
      <c r="FT266" s="97"/>
      <c r="FU266" s="97"/>
    </row>
    <row r="267" spans="10:177" s="1" customFormat="1" ht="15.75">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c r="DK267" s="97"/>
      <c r="DL267" s="97"/>
      <c r="DM267" s="97"/>
      <c r="DN267" s="97"/>
      <c r="DO267" s="97"/>
      <c r="DP267" s="97"/>
      <c r="DQ267" s="97"/>
      <c r="DR267" s="97"/>
      <c r="DS267" s="97"/>
      <c r="DT267" s="97"/>
      <c r="DU267" s="97"/>
      <c r="DV267" s="97"/>
      <c r="DW267" s="97"/>
      <c r="DX267" s="97"/>
      <c r="DY267" s="97"/>
      <c r="DZ267" s="97"/>
      <c r="EA267" s="97"/>
      <c r="EB267" s="97"/>
      <c r="EC267" s="97"/>
      <c r="ED267" s="97"/>
      <c r="EE267" s="97"/>
      <c r="EF267" s="97"/>
      <c r="EG267" s="97"/>
      <c r="EH267" s="97"/>
      <c r="EI267" s="97"/>
      <c r="EJ267" s="97"/>
      <c r="EK267" s="97"/>
      <c r="EL267" s="97"/>
      <c r="EM267" s="97"/>
      <c r="EN267" s="97"/>
      <c r="EO267" s="97"/>
      <c r="EP267" s="97"/>
      <c r="EQ267" s="97"/>
      <c r="ER267" s="97"/>
      <c r="ES267" s="97"/>
      <c r="ET267" s="97"/>
      <c r="EU267" s="97"/>
      <c r="EV267" s="97"/>
      <c r="EW267" s="97"/>
      <c r="EX267" s="97"/>
      <c r="EY267" s="97"/>
      <c r="EZ267" s="97"/>
      <c r="FA267" s="97"/>
      <c r="FB267" s="97"/>
      <c r="FC267" s="97"/>
      <c r="FD267" s="97"/>
      <c r="FE267" s="97"/>
      <c r="FF267" s="97"/>
      <c r="FG267" s="97"/>
      <c r="FH267" s="97"/>
      <c r="FI267" s="97"/>
      <c r="FJ267" s="97"/>
      <c r="FK267" s="97"/>
      <c r="FL267" s="97"/>
      <c r="FM267" s="97"/>
      <c r="FN267" s="97"/>
      <c r="FO267" s="97"/>
      <c r="FP267" s="97"/>
      <c r="FQ267" s="97"/>
      <c r="FR267" s="97"/>
      <c r="FS267" s="97"/>
      <c r="FT267" s="97"/>
      <c r="FU267" s="97"/>
    </row>
    <row r="268" spans="10:177" s="1" customFormat="1" ht="15.75">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c r="DK268" s="97"/>
      <c r="DL268" s="97"/>
      <c r="DM268" s="97"/>
      <c r="DN268" s="97"/>
      <c r="DO268" s="97"/>
      <c r="DP268" s="97"/>
      <c r="DQ268" s="97"/>
      <c r="DR268" s="97"/>
      <c r="DS268" s="97"/>
      <c r="DT268" s="97"/>
      <c r="DU268" s="97"/>
      <c r="DV268" s="97"/>
      <c r="DW268" s="97"/>
      <c r="DX268" s="97"/>
      <c r="DY268" s="97"/>
      <c r="DZ268" s="97"/>
      <c r="EA268" s="97"/>
      <c r="EB268" s="97"/>
      <c r="EC268" s="97"/>
      <c r="ED268" s="97"/>
      <c r="EE268" s="97"/>
      <c r="EF268" s="97"/>
      <c r="EG268" s="97"/>
      <c r="EH268" s="97"/>
      <c r="EI268" s="97"/>
      <c r="EJ268" s="97"/>
      <c r="EK268" s="97"/>
      <c r="EL268" s="97"/>
      <c r="EM268" s="97"/>
      <c r="EN268" s="97"/>
      <c r="EO268" s="97"/>
      <c r="EP268" s="97"/>
      <c r="EQ268" s="97"/>
      <c r="ER268" s="97"/>
      <c r="ES268" s="97"/>
      <c r="ET268" s="97"/>
      <c r="EU268" s="97"/>
      <c r="EV268" s="97"/>
      <c r="EW268" s="97"/>
      <c r="EX268" s="97"/>
      <c r="EY268" s="97"/>
      <c r="EZ268" s="97"/>
      <c r="FA268" s="97"/>
      <c r="FB268" s="97"/>
      <c r="FC268" s="97"/>
      <c r="FD268" s="97"/>
      <c r="FE268" s="97"/>
      <c r="FF268" s="97"/>
      <c r="FG268" s="97"/>
      <c r="FH268" s="97"/>
      <c r="FI268" s="97"/>
      <c r="FJ268" s="97"/>
      <c r="FK268" s="97"/>
      <c r="FL268" s="97"/>
      <c r="FM268" s="97"/>
      <c r="FN268" s="97"/>
      <c r="FO268" s="97"/>
      <c r="FP268" s="97"/>
      <c r="FQ268" s="97"/>
      <c r="FR268" s="97"/>
      <c r="FS268" s="97"/>
      <c r="FT268" s="97"/>
      <c r="FU268" s="97"/>
    </row>
    <row r="269" spans="10:177" s="1" customFormat="1" ht="15.75">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c r="CY269" s="97"/>
      <c r="CZ269" s="97"/>
      <c r="DA269" s="97"/>
      <c r="DB269" s="97"/>
      <c r="DC269" s="97"/>
      <c r="DD269" s="97"/>
      <c r="DE269" s="97"/>
      <c r="DF269" s="97"/>
      <c r="DG269" s="97"/>
      <c r="DH269" s="97"/>
      <c r="DI269" s="97"/>
      <c r="DJ269" s="97"/>
      <c r="DK269" s="97"/>
      <c r="DL269" s="97"/>
      <c r="DM269" s="97"/>
      <c r="DN269" s="97"/>
      <c r="DO269" s="97"/>
      <c r="DP269" s="97"/>
      <c r="DQ269" s="97"/>
      <c r="DR269" s="97"/>
      <c r="DS269" s="97"/>
      <c r="DT269" s="97"/>
      <c r="DU269" s="97"/>
      <c r="DV269" s="97"/>
      <c r="DW269" s="97"/>
      <c r="DX269" s="97"/>
      <c r="DY269" s="97"/>
      <c r="DZ269" s="97"/>
      <c r="EA269" s="97"/>
      <c r="EB269" s="97"/>
      <c r="EC269" s="97"/>
      <c r="ED269" s="97"/>
      <c r="EE269" s="97"/>
      <c r="EF269" s="97"/>
      <c r="EG269" s="97"/>
      <c r="EH269" s="97"/>
      <c r="EI269" s="97"/>
      <c r="EJ269" s="97"/>
      <c r="EK269" s="97"/>
      <c r="EL269" s="97"/>
      <c r="EM269" s="97"/>
      <c r="EN269" s="97"/>
      <c r="EO269" s="97"/>
      <c r="EP269" s="97"/>
      <c r="EQ269" s="97"/>
      <c r="ER269" s="97"/>
      <c r="ES269" s="97"/>
      <c r="ET269" s="97"/>
      <c r="EU269" s="97"/>
      <c r="EV269" s="97"/>
      <c r="EW269" s="97"/>
      <c r="EX269" s="97"/>
      <c r="EY269" s="97"/>
      <c r="EZ269" s="97"/>
      <c r="FA269" s="97"/>
      <c r="FB269" s="97"/>
      <c r="FC269" s="97"/>
      <c r="FD269" s="97"/>
      <c r="FE269" s="97"/>
      <c r="FF269" s="97"/>
      <c r="FG269" s="97"/>
      <c r="FH269" s="97"/>
      <c r="FI269" s="97"/>
      <c r="FJ269" s="97"/>
      <c r="FK269" s="97"/>
      <c r="FL269" s="97"/>
      <c r="FM269" s="97"/>
      <c r="FN269" s="97"/>
      <c r="FO269" s="97"/>
      <c r="FP269" s="97"/>
      <c r="FQ269" s="97"/>
      <c r="FR269" s="97"/>
      <c r="FS269" s="97"/>
      <c r="FT269" s="97"/>
      <c r="FU269" s="97"/>
    </row>
    <row r="270" spans="10:177" s="1" customFormat="1" ht="15.75">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c r="DQ270" s="97"/>
      <c r="DR270" s="97"/>
      <c r="DS270" s="97"/>
      <c r="DT270" s="97"/>
      <c r="DU270" s="97"/>
      <c r="DV270" s="97"/>
      <c r="DW270" s="97"/>
      <c r="DX270" s="97"/>
      <c r="DY270" s="97"/>
      <c r="DZ270" s="97"/>
      <c r="EA270" s="97"/>
      <c r="EB270" s="97"/>
      <c r="EC270" s="97"/>
      <c r="ED270" s="97"/>
      <c r="EE270" s="97"/>
      <c r="EF270" s="97"/>
      <c r="EG270" s="97"/>
      <c r="EH270" s="97"/>
      <c r="EI270" s="97"/>
      <c r="EJ270" s="97"/>
      <c r="EK270" s="97"/>
      <c r="EL270" s="97"/>
      <c r="EM270" s="97"/>
      <c r="EN270" s="97"/>
      <c r="EO270" s="97"/>
      <c r="EP270" s="97"/>
      <c r="EQ270" s="97"/>
      <c r="ER270" s="97"/>
      <c r="ES270" s="97"/>
      <c r="ET270" s="97"/>
      <c r="EU270" s="97"/>
      <c r="EV270" s="97"/>
      <c r="EW270" s="97"/>
      <c r="EX270" s="97"/>
      <c r="EY270" s="97"/>
      <c r="EZ270" s="97"/>
      <c r="FA270" s="97"/>
      <c r="FB270" s="97"/>
      <c r="FC270" s="97"/>
      <c r="FD270" s="97"/>
      <c r="FE270" s="97"/>
      <c r="FF270" s="97"/>
      <c r="FG270" s="97"/>
      <c r="FH270" s="97"/>
      <c r="FI270" s="97"/>
      <c r="FJ270" s="97"/>
      <c r="FK270" s="97"/>
      <c r="FL270" s="97"/>
      <c r="FM270" s="97"/>
      <c r="FN270" s="97"/>
      <c r="FO270" s="97"/>
      <c r="FP270" s="97"/>
      <c r="FQ270" s="97"/>
      <c r="FR270" s="97"/>
      <c r="FS270" s="97"/>
      <c r="FT270" s="97"/>
      <c r="FU270" s="97"/>
    </row>
    <row r="271" spans="10:177" s="1" customFormat="1" ht="15.75">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c r="DW271" s="97"/>
      <c r="DX271" s="97"/>
      <c r="DY271" s="97"/>
      <c r="DZ271" s="97"/>
      <c r="EA271" s="97"/>
      <c r="EB271" s="97"/>
      <c r="EC271" s="97"/>
      <c r="ED271" s="97"/>
      <c r="EE271" s="97"/>
      <c r="EF271" s="97"/>
      <c r="EG271" s="97"/>
      <c r="EH271" s="97"/>
      <c r="EI271" s="97"/>
      <c r="EJ271" s="97"/>
      <c r="EK271" s="97"/>
      <c r="EL271" s="97"/>
      <c r="EM271" s="97"/>
      <c r="EN271" s="97"/>
      <c r="EO271" s="97"/>
      <c r="EP271" s="97"/>
      <c r="EQ271" s="97"/>
      <c r="ER271" s="97"/>
      <c r="ES271" s="97"/>
      <c r="ET271" s="97"/>
      <c r="EU271" s="97"/>
      <c r="EV271" s="97"/>
      <c r="EW271" s="97"/>
      <c r="EX271" s="97"/>
      <c r="EY271" s="97"/>
      <c r="EZ271" s="97"/>
      <c r="FA271" s="97"/>
      <c r="FB271" s="97"/>
      <c r="FC271" s="97"/>
      <c r="FD271" s="97"/>
      <c r="FE271" s="97"/>
      <c r="FF271" s="97"/>
      <c r="FG271" s="97"/>
      <c r="FH271" s="97"/>
      <c r="FI271" s="97"/>
      <c r="FJ271" s="97"/>
      <c r="FK271" s="97"/>
      <c r="FL271" s="97"/>
      <c r="FM271" s="97"/>
      <c r="FN271" s="97"/>
      <c r="FO271" s="97"/>
      <c r="FP271" s="97"/>
      <c r="FQ271" s="97"/>
      <c r="FR271" s="97"/>
      <c r="FS271" s="97"/>
      <c r="FT271" s="97"/>
      <c r="FU271" s="97"/>
    </row>
    <row r="272" spans="10:177" s="1" customFormat="1" ht="15.75">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c r="DQ272" s="97"/>
      <c r="DR272" s="97"/>
      <c r="DS272" s="97"/>
      <c r="DT272" s="97"/>
      <c r="DU272" s="97"/>
      <c r="DV272" s="97"/>
      <c r="DW272" s="97"/>
      <c r="DX272" s="97"/>
      <c r="DY272" s="97"/>
      <c r="DZ272" s="97"/>
      <c r="EA272" s="97"/>
      <c r="EB272" s="97"/>
      <c r="EC272" s="97"/>
      <c r="ED272" s="97"/>
      <c r="EE272" s="97"/>
      <c r="EF272" s="97"/>
      <c r="EG272" s="97"/>
      <c r="EH272" s="97"/>
      <c r="EI272" s="97"/>
      <c r="EJ272" s="97"/>
      <c r="EK272" s="97"/>
      <c r="EL272" s="97"/>
      <c r="EM272" s="97"/>
      <c r="EN272" s="97"/>
      <c r="EO272" s="97"/>
      <c r="EP272" s="97"/>
      <c r="EQ272" s="97"/>
      <c r="ER272" s="97"/>
      <c r="ES272" s="97"/>
      <c r="ET272" s="97"/>
      <c r="EU272" s="97"/>
      <c r="EV272" s="97"/>
      <c r="EW272" s="97"/>
      <c r="EX272" s="97"/>
      <c r="EY272" s="97"/>
      <c r="EZ272" s="97"/>
      <c r="FA272" s="97"/>
      <c r="FB272" s="97"/>
      <c r="FC272" s="97"/>
      <c r="FD272" s="97"/>
      <c r="FE272" s="97"/>
      <c r="FF272" s="97"/>
      <c r="FG272" s="97"/>
      <c r="FH272" s="97"/>
      <c r="FI272" s="97"/>
      <c r="FJ272" s="97"/>
      <c r="FK272" s="97"/>
      <c r="FL272" s="97"/>
      <c r="FM272" s="97"/>
      <c r="FN272" s="97"/>
      <c r="FO272" s="97"/>
      <c r="FP272" s="97"/>
      <c r="FQ272" s="97"/>
      <c r="FR272" s="97"/>
      <c r="FS272" s="97"/>
      <c r="FT272" s="97"/>
      <c r="FU272" s="97"/>
    </row>
    <row r="273" spans="10:177" s="1" customFormat="1" ht="15.75">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c r="DQ273" s="97"/>
      <c r="DR273" s="97"/>
      <c r="DS273" s="97"/>
      <c r="DT273" s="97"/>
      <c r="DU273" s="97"/>
      <c r="DV273" s="97"/>
      <c r="DW273" s="97"/>
      <c r="DX273" s="97"/>
      <c r="DY273" s="97"/>
      <c r="DZ273" s="97"/>
      <c r="EA273" s="97"/>
      <c r="EB273" s="97"/>
      <c r="EC273" s="97"/>
      <c r="ED273" s="97"/>
      <c r="EE273" s="97"/>
      <c r="EF273" s="97"/>
      <c r="EG273" s="97"/>
      <c r="EH273" s="97"/>
      <c r="EI273" s="97"/>
      <c r="EJ273" s="97"/>
      <c r="EK273" s="97"/>
      <c r="EL273" s="97"/>
      <c r="EM273" s="97"/>
      <c r="EN273" s="97"/>
      <c r="EO273" s="97"/>
      <c r="EP273" s="97"/>
      <c r="EQ273" s="97"/>
      <c r="ER273" s="97"/>
      <c r="ES273" s="97"/>
      <c r="ET273" s="97"/>
      <c r="EU273" s="97"/>
      <c r="EV273" s="97"/>
      <c r="EW273" s="97"/>
      <c r="EX273" s="97"/>
      <c r="EY273" s="97"/>
      <c r="EZ273" s="97"/>
      <c r="FA273" s="97"/>
      <c r="FB273" s="97"/>
      <c r="FC273" s="97"/>
      <c r="FD273" s="97"/>
      <c r="FE273" s="97"/>
      <c r="FF273" s="97"/>
      <c r="FG273" s="97"/>
      <c r="FH273" s="97"/>
      <c r="FI273" s="97"/>
      <c r="FJ273" s="97"/>
      <c r="FK273" s="97"/>
      <c r="FL273" s="97"/>
      <c r="FM273" s="97"/>
      <c r="FN273" s="97"/>
      <c r="FO273" s="97"/>
      <c r="FP273" s="97"/>
      <c r="FQ273" s="97"/>
      <c r="FR273" s="97"/>
      <c r="FS273" s="97"/>
      <c r="FT273" s="97"/>
      <c r="FU273" s="97"/>
    </row>
    <row r="274" spans="10:177" s="1" customFormat="1" ht="15.75">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c r="CY274" s="97"/>
      <c r="CZ274" s="97"/>
      <c r="DA274" s="97"/>
      <c r="DB274" s="97"/>
      <c r="DC274" s="97"/>
      <c r="DD274" s="97"/>
      <c r="DE274" s="97"/>
      <c r="DF274" s="97"/>
      <c r="DG274" s="97"/>
      <c r="DH274" s="97"/>
      <c r="DI274" s="97"/>
      <c r="DJ274" s="97"/>
      <c r="DK274" s="97"/>
      <c r="DL274" s="97"/>
      <c r="DM274" s="97"/>
      <c r="DN274" s="97"/>
      <c r="DO274" s="97"/>
      <c r="DP274" s="97"/>
      <c r="DQ274" s="97"/>
      <c r="DR274" s="97"/>
      <c r="DS274" s="97"/>
      <c r="DT274" s="97"/>
      <c r="DU274" s="97"/>
      <c r="DV274" s="97"/>
      <c r="DW274" s="97"/>
      <c r="DX274" s="97"/>
      <c r="DY274" s="97"/>
      <c r="DZ274" s="97"/>
      <c r="EA274" s="97"/>
      <c r="EB274" s="97"/>
      <c r="EC274" s="97"/>
      <c r="ED274" s="97"/>
      <c r="EE274" s="97"/>
      <c r="EF274" s="97"/>
      <c r="EG274" s="97"/>
      <c r="EH274" s="97"/>
      <c r="EI274" s="97"/>
      <c r="EJ274" s="97"/>
      <c r="EK274" s="97"/>
      <c r="EL274" s="97"/>
      <c r="EM274" s="97"/>
      <c r="EN274" s="97"/>
      <c r="EO274" s="97"/>
      <c r="EP274" s="97"/>
      <c r="EQ274" s="97"/>
      <c r="ER274" s="97"/>
      <c r="ES274" s="97"/>
      <c r="ET274" s="97"/>
      <c r="EU274" s="97"/>
      <c r="EV274" s="97"/>
      <c r="EW274" s="97"/>
      <c r="EX274" s="97"/>
      <c r="EY274" s="97"/>
      <c r="EZ274" s="97"/>
      <c r="FA274" s="97"/>
      <c r="FB274" s="97"/>
      <c r="FC274" s="97"/>
      <c r="FD274" s="97"/>
      <c r="FE274" s="97"/>
      <c r="FF274" s="97"/>
      <c r="FG274" s="97"/>
      <c r="FH274" s="97"/>
      <c r="FI274" s="97"/>
      <c r="FJ274" s="97"/>
      <c r="FK274" s="97"/>
      <c r="FL274" s="97"/>
      <c r="FM274" s="97"/>
      <c r="FN274" s="97"/>
      <c r="FO274" s="97"/>
      <c r="FP274" s="97"/>
      <c r="FQ274" s="97"/>
      <c r="FR274" s="97"/>
      <c r="FS274" s="97"/>
      <c r="FT274" s="97"/>
      <c r="FU274" s="97"/>
    </row>
    <row r="275" spans="10:177" s="1" customFormat="1" ht="15.75">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97"/>
      <c r="DJ275" s="97"/>
      <c r="DK275" s="97"/>
      <c r="DL275" s="97"/>
      <c r="DM275" s="97"/>
      <c r="DN275" s="97"/>
      <c r="DO275" s="97"/>
      <c r="DP275" s="97"/>
      <c r="DQ275" s="97"/>
      <c r="DR275" s="97"/>
      <c r="DS275" s="97"/>
      <c r="DT275" s="97"/>
      <c r="DU275" s="97"/>
      <c r="DV275" s="97"/>
      <c r="DW275" s="97"/>
      <c r="DX275" s="97"/>
      <c r="DY275" s="97"/>
      <c r="DZ275" s="97"/>
      <c r="EA275" s="97"/>
      <c r="EB275" s="97"/>
      <c r="EC275" s="97"/>
      <c r="ED275" s="97"/>
      <c r="EE275" s="97"/>
      <c r="EF275" s="97"/>
      <c r="EG275" s="97"/>
      <c r="EH275" s="97"/>
      <c r="EI275" s="97"/>
      <c r="EJ275" s="97"/>
      <c r="EK275" s="97"/>
      <c r="EL275" s="97"/>
      <c r="EM275" s="97"/>
      <c r="EN275" s="97"/>
      <c r="EO275" s="97"/>
      <c r="EP275" s="97"/>
      <c r="EQ275" s="97"/>
      <c r="ER275" s="97"/>
      <c r="ES275" s="97"/>
      <c r="ET275" s="97"/>
      <c r="EU275" s="97"/>
      <c r="EV275" s="97"/>
      <c r="EW275" s="97"/>
      <c r="EX275" s="97"/>
      <c r="EY275" s="97"/>
      <c r="EZ275" s="97"/>
      <c r="FA275" s="97"/>
      <c r="FB275" s="97"/>
      <c r="FC275" s="97"/>
      <c r="FD275" s="97"/>
      <c r="FE275" s="97"/>
      <c r="FF275" s="97"/>
      <c r="FG275" s="97"/>
      <c r="FH275" s="97"/>
      <c r="FI275" s="97"/>
      <c r="FJ275" s="97"/>
      <c r="FK275" s="97"/>
      <c r="FL275" s="97"/>
      <c r="FM275" s="97"/>
      <c r="FN275" s="97"/>
      <c r="FO275" s="97"/>
      <c r="FP275" s="97"/>
      <c r="FQ275" s="97"/>
      <c r="FR275" s="97"/>
      <c r="FS275" s="97"/>
      <c r="FT275" s="97"/>
      <c r="FU275" s="97"/>
    </row>
    <row r="276" spans="10:177" s="1" customFormat="1" ht="15.75">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c r="CY276" s="97"/>
      <c r="CZ276" s="97"/>
      <c r="DA276" s="97"/>
      <c r="DB276" s="97"/>
      <c r="DC276" s="97"/>
      <c r="DD276" s="97"/>
      <c r="DE276" s="97"/>
      <c r="DF276" s="97"/>
      <c r="DG276" s="97"/>
      <c r="DH276" s="97"/>
      <c r="DI276" s="97"/>
      <c r="DJ276" s="97"/>
      <c r="DK276" s="97"/>
      <c r="DL276" s="97"/>
      <c r="DM276" s="97"/>
      <c r="DN276" s="97"/>
      <c r="DO276" s="97"/>
      <c r="DP276" s="97"/>
      <c r="DQ276" s="97"/>
      <c r="DR276" s="97"/>
      <c r="DS276" s="97"/>
      <c r="DT276" s="97"/>
      <c r="DU276" s="97"/>
      <c r="DV276" s="97"/>
      <c r="DW276" s="97"/>
      <c r="DX276" s="97"/>
      <c r="DY276" s="97"/>
      <c r="DZ276" s="97"/>
      <c r="EA276" s="97"/>
      <c r="EB276" s="97"/>
      <c r="EC276" s="97"/>
      <c r="ED276" s="97"/>
      <c r="EE276" s="97"/>
      <c r="EF276" s="97"/>
      <c r="EG276" s="97"/>
      <c r="EH276" s="97"/>
      <c r="EI276" s="97"/>
      <c r="EJ276" s="97"/>
      <c r="EK276" s="97"/>
      <c r="EL276" s="97"/>
      <c r="EM276" s="97"/>
      <c r="EN276" s="97"/>
      <c r="EO276" s="97"/>
      <c r="EP276" s="97"/>
      <c r="EQ276" s="97"/>
      <c r="ER276" s="97"/>
      <c r="ES276" s="97"/>
      <c r="ET276" s="97"/>
      <c r="EU276" s="97"/>
      <c r="EV276" s="97"/>
      <c r="EW276" s="97"/>
      <c r="EX276" s="97"/>
      <c r="EY276" s="97"/>
      <c r="EZ276" s="97"/>
      <c r="FA276" s="97"/>
      <c r="FB276" s="97"/>
      <c r="FC276" s="97"/>
      <c r="FD276" s="97"/>
      <c r="FE276" s="97"/>
      <c r="FF276" s="97"/>
      <c r="FG276" s="97"/>
      <c r="FH276" s="97"/>
      <c r="FI276" s="97"/>
      <c r="FJ276" s="97"/>
      <c r="FK276" s="97"/>
      <c r="FL276" s="97"/>
      <c r="FM276" s="97"/>
      <c r="FN276" s="97"/>
      <c r="FO276" s="97"/>
      <c r="FP276" s="97"/>
      <c r="FQ276" s="97"/>
      <c r="FR276" s="97"/>
      <c r="FS276" s="97"/>
      <c r="FT276" s="97"/>
      <c r="FU276" s="97"/>
    </row>
    <row r="277" spans="10:177" s="1" customFormat="1" ht="15.75">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c r="DQ277" s="97"/>
      <c r="DR277" s="97"/>
      <c r="DS277" s="97"/>
      <c r="DT277" s="97"/>
      <c r="DU277" s="97"/>
      <c r="DV277" s="97"/>
      <c r="DW277" s="97"/>
      <c r="DX277" s="97"/>
      <c r="DY277" s="97"/>
      <c r="DZ277" s="97"/>
      <c r="EA277" s="97"/>
      <c r="EB277" s="97"/>
      <c r="EC277" s="97"/>
      <c r="ED277" s="97"/>
      <c r="EE277" s="97"/>
      <c r="EF277" s="97"/>
      <c r="EG277" s="97"/>
      <c r="EH277" s="97"/>
      <c r="EI277" s="97"/>
      <c r="EJ277" s="97"/>
      <c r="EK277" s="97"/>
      <c r="EL277" s="97"/>
      <c r="EM277" s="97"/>
      <c r="EN277" s="97"/>
      <c r="EO277" s="97"/>
      <c r="EP277" s="97"/>
      <c r="EQ277" s="97"/>
      <c r="ER277" s="97"/>
      <c r="ES277" s="97"/>
      <c r="ET277" s="97"/>
      <c r="EU277" s="97"/>
      <c r="EV277" s="97"/>
      <c r="EW277" s="97"/>
      <c r="EX277" s="97"/>
      <c r="EY277" s="97"/>
      <c r="EZ277" s="97"/>
      <c r="FA277" s="97"/>
      <c r="FB277" s="97"/>
      <c r="FC277" s="97"/>
      <c r="FD277" s="97"/>
      <c r="FE277" s="97"/>
      <c r="FF277" s="97"/>
      <c r="FG277" s="97"/>
      <c r="FH277" s="97"/>
      <c r="FI277" s="97"/>
      <c r="FJ277" s="97"/>
      <c r="FK277" s="97"/>
      <c r="FL277" s="97"/>
      <c r="FM277" s="97"/>
      <c r="FN277" s="97"/>
      <c r="FO277" s="97"/>
      <c r="FP277" s="97"/>
      <c r="FQ277" s="97"/>
      <c r="FR277" s="97"/>
      <c r="FS277" s="97"/>
      <c r="FT277" s="97"/>
      <c r="FU277" s="97"/>
    </row>
    <row r="278" spans="10:177" s="1" customFormat="1" ht="15.75">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c r="DQ278" s="97"/>
      <c r="DR278" s="97"/>
      <c r="DS278" s="97"/>
      <c r="DT278" s="97"/>
      <c r="DU278" s="97"/>
      <c r="DV278" s="97"/>
      <c r="DW278" s="97"/>
      <c r="DX278" s="97"/>
      <c r="DY278" s="97"/>
      <c r="DZ278" s="97"/>
      <c r="EA278" s="97"/>
      <c r="EB278" s="97"/>
      <c r="EC278" s="97"/>
      <c r="ED278" s="97"/>
      <c r="EE278" s="97"/>
      <c r="EF278" s="97"/>
      <c r="EG278" s="97"/>
      <c r="EH278" s="97"/>
      <c r="EI278" s="97"/>
      <c r="EJ278" s="97"/>
      <c r="EK278" s="97"/>
      <c r="EL278" s="97"/>
      <c r="EM278" s="97"/>
      <c r="EN278" s="97"/>
      <c r="EO278" s="97"/>
      <c r="EP278" s="97"/>
      <c r="EQ278" s="97"/>
      <c r="ER278" s="97"/>
      <c r="ES278" s="97"/>
      <c r="ET278" s="97"/>
      <c r="EU278" s="97"/>
      <c r="EV278" s="97"/>
      <c r="EW278" s="97"/>
      <c r="EX278" s="97"/>
      <c r="EY278" s="97"/>
      <c r="EZ278" s="97"/>
      <c r="FA278" s="97"/>
      <c r="FB278" s="97"/>
      <c r="FC278" s="97"/>
      <c r="FD278" s="97"/>
      <c r="FE278" s="97"/>
      <c r="FF278" s="97"/>
      <c r="FG278" s="97"/>
      <c r="FH278" s="97"/>
      <c r="FI278" s="97"/>
      <c r="FJ278" s="97"/>
      <c r="FK278" s="97"/>
      <c r="FL278" s="97"/>
      <c r="FM278" s="97"/>
      <c r="FN278" s="97"/>
      <c r="FO278" s="97"/>
      <c r="FP278" s="97"/>
      <c r="FQ278" s="97"/>
      <c r="FR278" s="97"/>
      <c r="FS278" s="97"/>
      <c r="FT278" s="97"/>
      <c r="FU278" s="97"/>
    </row>
    <row r="279" spans="10:177" s="1" customFormat="1" ht="15.75">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97"/>
      <c r="DJ279" s="97"/>
      <c r="DK279" s="97"/>
      <c r="DL279" s="97"/>
      <c r="DM279" s="97"/>
      <c r="DN279" s="97"/>
      <c r="DO279" s="97"/>
      <c r="DP279" s="97"/>
      <c r="DQ279" s="97"/>
      <c r="DR279" s="97"/>
      <c r="DS279" s="97"/>
      <c r="DT279" s="97"/>
      <c r="DU279" s="97"/>
      <c r="DV279" s="97"/>
      <c r="DW279" s="97"/>
      <c r="DX279" s="97"/>
      <c r="DY279" s="97"/>
      <c r="DZ279" s="97"/>
      <c r="EA279" s="97"/>
      <c r="EB279" s="97"/>
      <c r="EC279" s="97"/>
      <c r="ED279" s="97"/>
      <c r="EE279" s="97"/>
      <c r="EF279" s="97"/>
      <c r="EG279" s="97"/>
      <c r="EH279" s="97"/>
      <c r="EI279" s="97"/>
      <c r="EJ279" s="97"/>
      <c r="EK279" s="97"/>
      <c r="EL279" s="97"/>
      <c r="EM279" s="97"/>
      <c r="EN279" s="97"/>
      <c r="EO279" s="97"/>
      <c r="EP279" s="97"/>
      <c r="EQ279" s="97"/>
      <c r="ER279" s="97"/>
      <c r="ES279" s="97"/>
      <c r="ET279" s="97"/>
      <c r="EU279" s="97"/>
      <c r="EV279" s="97"/>
      <c r="EW279" s="97"/>
      <c r="EX279" s="97"/>
      <c r="EY279" s="97"/>
      <c r="EZ279" s="97"/>
      <c r="FA279" s="97"/>
      <c r="FB279" s="97"/>
      <c r="FC279" s="97"/>
      <c r="FD279" s="97"/>
      <c r="FE279" s="97"/>
      <c r="FF279" s="97"/>
      <c r="FG279" s="97"/>
      <c r="FH279" s="97"/>
      <c r="FI279" s="97"/>
      <c r="FJ279" s="97"/>
      <c r="FK279" s="97"/>
      <c r="FL279" s="97"/>
      <c r="FM279" s="97"/>
      <c r="FN279" s="97"/>
      <c r="FO279" s="97"/>
      <c r="FP279" s="97"/>
      <c r="FQ279" s="97"/>
      <c r="FR279" s="97"/>
      <c r="FS279" s="97"/>
      <c r="FT279" s="97"/>
      <c r="FU279" s="97"/>
    </row>
    <row r="280" spans="10:177" s="1" customFormat="1" ht="15.75">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c r="DQ280" s="97"/>
      <c r="DR280" s="97"/>
      <c r="DS280" s="97"/>
      <c r="DT280" s="97"/>
      <c r="DU280" s="97"/>
      <c r="DV280" s="97"/>
      <c r="DW280" s="97"/>
      <c r="DX280" s="97"/>
      <c r="DY280" s="97"/>
      <c r="DZ280" s="97"/>
      <c r="EA280" s="97"/>
      <c r="EB280" s="97"/>
      <c r="EC280" s="97"/>
      <c r="ED280" s="97"/>
      <c r="EE280" s="97"/>
      <c r="EF280" s="97"/>
      <c r="EG280" s="97"/>
      <c r="EH280" s="97"/>
      <c r="EI280" s="97"/>
      <c r="EJ280" s="97"/>
      <c r="EK280" s="97"/>
      <c r="EL280" s="97"/>
      <c r="EM280" s="97"/>
      <c r="EN280" s="97"/>
      <c r="EO280" s="97"/>
      <c r="EP280" s="97"/>
      <c r="EQ280" s="97"/>
      <c r="ER280" s="97"/>
      <c r="ES280" s="97"/>
      <c r="ET280" s="97"/>
      <c r="EU280" s="97"/>
      <c r="EV280" s="97"/>
      <c r="EW280" s="97"/>
      <c r="EX280" s="97"/>
      <c r="EY280" s="97"/>
      <c r="EZ280" s="97"/>
      <c r="FA280" s="97"/>
      <c r="FB280" s="97"/>
      <c r="FC280" s="97"/>
      <c r="FD280" s="97"/>
      <c r="FE280" s="97"/>
      <c r="FF280" s="97"/>
      <c r="FG280" s="97"/>
      <c r="FH280" s="97"/>
      <c r="FI280" s="97"/>
      <c r="FJ280" s="97"/>
      <c r="FK280" s="97"/>
      <c r="FL280" s="97"/>
      <c r="FM280" s="97"/>
      <c r="FN280" s="97"/>
      <c r="FO280" s="97"/>
      <c r="FP280" s="97"/>
      <c r="FQ280" s="97"/>
      <c r="FR280" s="97"/>
      <c r="FS280" s="97"/>
      <c r="FT280" s="97"/>
      <c r="FU280" s="97"/>
    </row>
    <row r="281" spans="10:177" s="1" customFormat="1" ht="15.75">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c r="CY281" s="97"/>
      <c r="CZ281" s="97"/>
      <c r="DA281" s="97"/>
      <c r="DB281" s="97"/>
      <c r="DC281" s="97"/>
      <c r="DD281" s="97"/>
      <c r="DE281" s="97"/>
      <c r="DF281" s="97"/>
      <c r="DG281" s="97"/>
      <c r="DH281" s="97"/>
      <c r="DI281" s="97"/>
      <c r="DJ281" s="97"/>
      <c r="DK281" s="97"/>
      <c r="DL281" s="97"/>
      <c r="DM281" s="97"/>
      <c r="DN281" s="97"/>
      <c r="DO281" s="97"/>
      <c r="DP281" s="97"/>
      <c r="DQ281" s="97"/>
      <c r="DR281" s="97"/>
      <c r="DS281" s="97"/>
      <c r="DT281" s="97"/>
      <c r="DU281" s="97"/>
      <c r="DV281" s="97"/>
      <c r="DW281" s="97"/>
      <c r="DX281" s="97"/>
      <c r="DY281" s="97"/>
      <c r="DZ281" s="97"/>
      <c r="EA281" s="97"/>
      <c r="EB281" s="97"/>
      <c r="EC281" s="97"/>
      <c r="ED281" s="97"/>
      <c r="EE281" s="97"/>
      <c r="EF281" s="97"/>
      <c r="EG281" s="97"/>
      <c r="EH281" s="97"/>
      <c r="EI281" s="97"/>
      <c r="EJ281" s="97"/>
      <c r="EK281" s="97"/>
      <c r="EL281" s="97"/>
      <c r="EM281" s="97"/>
      <c r="EN281" s="97"/>
      <c r="EO281" s="97"/>
      <c r="EP281" s="97"/>
      <c r="EQ281" s="97"/>
      <c r="ER281" s="97"/>
      <c r="ES281" s="97"/>
      <c r="ET281" s="97"/>
      <c r="EU281" s="97"/>
      <c r="EV281" s="97"/>
      <c r="EW281" s="97"/>
      <c r="EX281" s="97"/>
      <c r="EY281" s="97"/>
      <c r="EZ281" s="97"/>
      <c r="FA281" s="97"/>
      <c r="FB281" s="97"/>
      <c r="FC281" s="97"/>
      <c r="FD281" s="97"/>
      <c r="FE281" s="97"/>
      <c r="FF281" s="97"/>
      <c r="FG281" s="97"/>
      <c r="FH281" s="97"/>
      <c r="FI281" s="97"/>
      <c r="FJ281" s="97"/>
      <c r="FK281" s="97"/>
      <c r="FL281" s="97"/>
      <c r="FM281" s="97"/>
      <c r="FN281" s="97"/>
      <c r="FO281" s="97"/>
      <c r="FP281" s="97"/>
      <c r="FQ281" s="97"/>
      <c r="FR281" s="97"/>
      <c r="FS281" s="97"/>
      <c r="FT281" s="97"/>
      <c r="FU281" s="97"/>
    </row>
    <row r="282" spans="10:177" s="1" customFormat="1" ht="15.75">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c r="DQ282" s="97"/>
      <c r="DR282" s="97"/>
      <c r="DS282" s="97"/>
      <c r="DT282" s="97"/>
      <c r="DU282" s="97"/>
      <c r="DV282" s="97"/>
      <c r="DW282" s="97"/>
      <c r="DX282" s="97"/>
      <c r="DY282" s="97"/>
      <c r="DZ282" s="97"/>
      <c r="EA282" s="97"/>
      <c r="EB282" s="97"/>
      <c r="EC282" s="97"/>
      <c r="ED282" s="97"/>
      <c r="EE282" s="97"/>
      <c r="EF282" s="97"/>
      <c r="EG282" s="97"/>
      <c r="EH282" s="97"/>
      <c r="EI282" s="97"/>
      <c r="EJ282" s="97"/>
      <c r="EK282" s="97"/>
      <c r="EL282" s="97"/>
      <c r="EM282" s="97"/>
      <c r="EN282" s="97"/>
      <c r="EO282" s="97"/>
      <c r="EP282" s="97"/>
      <c r="EQ282" s="97"/>
      <c r="ER282" s="97"/>
      <c r="ES282" s="97"/>
      <c r="ET282" s="97"/>
      <c r="EU282" s="97"/>
      <c r="EV282" s="97"/>
      <c r="EW282" s="97"/>
      <c r="EX282" s="97"/>
      <c r="EY282" s="97"/>
      <c r="EZ282" s="97"/>
      <c r="FA282" s="97"/>
      <c r="FB282" s="97"/>
      <c r="FC282" s="97"/>
      <c r="FD282" s="97"/>
      <c r="FE282" s="97"/>
      <c r="FF282" s="97"/>
      <c r="FG282" s="97"/>
      <c r="FH282" s="97"/>
      <c r="FI282" s="97"/>
      <c r="FJ282" s="97"/>
      <c r="FK282" s="97"/>
      <c r="FL282" s="97"/>
      <c r="FM282" s="97"/>
      <c r="FN282" s="97"/>
      <c r="FO282" s="97"/>
      <c r="FP282" s="97"/>
      <c r="FQ282" s="97"/>
      <c r="FR282" s="97"/>
      <c r="FS282" s="97"/>
      <c r="FT282" s="97"/>
      <c r="FU282" s="97"/>
    </row>
    <row r="283" spans="10:177" s="1" customFormat="1" ht="15.75">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c r="DQ283" s="97"/>
      <c r="DR283" s="97"/>
      <c r="DS283" s="97"/>
      <c r="DT283" s="97"/>
      <c r="DU283" s="97"/>
      <c r="DV283" s="97"/>
      <c r="DW283" s="97"/>
      <c r="DX283" s="97"/>
      <c r="DY283" s="97"/>
      <c r="DZ283" s="97"/>
      <c r="EA283" s="97"/>
      <c r="EB283" s="97"/>
      <c r="EC283" s="97"/>
      <c r="ED283" s="97"/>
      <c r="EE283" s="97"/>
      <c r="EF283" s="97"/>
      <c r="EG283" s="97"/>
      <c r="EH283" s="97"/>
      <c r="EI283" s="97"/>
      <c r="EJ283" s="97"/>
      <c r="EK283" s="97"/>
      <c r="EL283" s="97"/>
      <c r="EM283" s="97"/>
      <c r="EN283" s="97"/>
      <c r="EO283" s="97"/>
      <c r="EP283" s="97"/>
      <c r="EQ283" s="97"/>
      <c r="ER283" s="97"/>
      <c r="ES283" s="97"/>
      <c r="ET283" s="97"/>
      <c r="EU283" s="97"/>
      <c r="EV283" s="97"/>
      <c r="EW283" s="97"/>
      <c r="EX283" s="97"/>
      <c r="EY283" s="97"/>
      <c r="EZ283" s="97"/>
      <c r="FA283" s="97"/>
      <c r="FB283" s="97"/>
      <c r="FC283" s="97"/>
      <c r="FD283" s="97"/>
      <c r="FE283" s="97"/>
      <c r="FF283" s="97"/>
      <c r="FG283" s="97"/>
      <c r="FH283" s="97"/>
      <c r="FI283" s="97"/>
      <c r="FJ283" s="97"/>
      <c r="FK283" s="97"/>
      <c r="FL283" s="97"/>
      <c r="FM283" s="97"/>
      <c r="FN283" s="97"/>
      <c r="FO283" s="97"/>
      <c r="FP283" s="97"/>
      <c r="FQ283" s="97"/>
      <c r="FR283" s="97"/>
      <c r="FS283" s="97"/>
      <c r="FT283" s="97"/>
      <c r="FU283" s="97"/>
    </row>
    <row r="284" spans="10:177" s="1" customFormat="1" ht="15.75">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c r="DW284" s="97"/>
      <c r="DX284" s="97"/>
      <c r="DY284" s="97"/>
      <c r="DZ284" s="97"/>
      <c r="EA284" s="97"/>
      <c r="EB284" s="97"/>
      <c r="EC284" s="97"/>
      <c r="ED284" s="97"/>
      <c r="EE284" s="97"/>
      <c r="EF284" s="97"/>
      <c r="EG284" s="97"/>
      <c r="EH284" s="97"/>
      <c r="EI284" s="97"/>
      <c r="EJ284" s="97"/>
      <c r="EK284" s="97"/>
      <c r="EL284" s="97"/>
      <c r="EM284" s="97"/>
      <c r="EN284" s="97"/>
      <c r="EO284" s="97"/>
      <c r="EP284" s="97"/>
      <c r="EQ284" s="97"/>
      <c r="ER284" s="97"/>
      <c r="ES284" s="97"/>
      <c r="ET284" s="97"/>
      <c r="EU284" s="97"/>
      <c r="EV284" s="97"/>
      <c r="EW284" s="97"/>
      <c r="EX284" s="97"/>
      <c r="EY284" s="97"/>
      <c r="EZ284" s="97"/>
      <c r="FA284" s="97"/>
      <c r="FB284" s="97"/>
      <c r="FC284" s="97"/>
      <c r="FD284" s="97"/>
      <c r="FE284" s="97"/>
      <c r="FF284" s="97"/>
      <c r="FG284" s="97"/>
      <c r="FH284" s="97"/>
      <c r="FI284" s="97"/>
      <c r="FJ284" s="97"/>
      <c r="FK284" s="97"/>
      <c r="FL284" s="97"/>
      <c r="FM284" s="97"/>
      <c r="FN284" s="97"/>
      <c r="FO284" s="97"/>
      <c r="FP284" s="97"/>
      <c r="FQ284" s="97"/>
      <c r="FR284" s="97"/>
      <c r="FS284" s="97"/>
      <c r="FT284" s="97"/>
      <c r="FU284" s="97"/>
    </row>
    <row r="285" spans="10:177" s="1" customFormat="1" ht="15.75">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c r="DQ285" s="97"/>
      <c r="DR285" s="97"/>
      <c r="DS285" s="97"/>
      <c r="DT285" s="97"/>
      <c r="DU285" s="97"/>
      <c r="DV285" s="97"/>
      <c r="DW285" s="97"/>
      <c r="DX285" s="97"/>
      <c r="DY285" s="97"/>
      <c r="DZ285" s="97"/>
      <c r="EA285" s="97"/>
      <c r="EB285" s="97"/>
      <c r="EC285" s="97"/>
      <c r="ED285" s="97"/>
      <c r="EE285" s="97"/>
      <c r="EF285" s="97"/>
      <c r="EG285" s="97"/>
      <c r="EH285" s="97"/>
      <c r="EI285" s="97"/>
      <c r="EJ285" s="97"/>
      <c r="EK285" s="97"/>
      <c r="EL285" s="97"/>
      <c r="EM285" s="97"/>
      <c r="EN285" s="97"/>
      <c r="EO285" s="97"/>
      <c r="EP285" s="97"/>
      <c r="EQ285" s="97"/>
      <c r="ER285" s="97"/>
      <c r="ES285" s="97"/>
      <c r="ET285" s="97"/>
      <c r="EU285" s="97"/>
      <c r="EV285" s="97"/>
      <c r="EW285" s="97"/>
      <c r="EX285" s="97"/>
      <c r="EY285" s="97"/>
      <c r="EZ285" s="97"/>
      <c r="FA285" s="97"/>
      <c r="FB285" s="97"/>
      <c r="FC285" s="97"/>
      <c r="FD285" s="97"/>
      <c r="FE285" s="97"/>
      <c r="FF285" s="97"/>
      <c r="FG285" s="97"/>
      <c r="FH285" s="97"/>
      <c r="FI285" s="97"/>
      <c r="FJ285" s="97"/>
      <c r="FK285" s="97"/>
      <c r="FL285" s="97"/>
      <c r="FM285" s="97"/>
      <c r="FN285" s="97"/>
      <c r="FO285" s="97"/>
      <c r="FP285" s="97"/>
      <c r="FQ285" s="97"/>
      <c r="FR285" s="97"/>
      <c r="FS285" s="97"/>
      <c r="FT285" s="97"/>
      <c r="FU285" s="97"/>
    </row>
    <row r="286" spans="10:177" s="1" customFormat="1" ht="15.75">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c r="DW286" s="97"/>
      <c r="DX286" s="97"/>
      <c r="DY286" s="97"/>
      <c r="DZ286" s="97"/>
      <c r="EA286" s="97"/>
      <c r="EB286" s="97"/>
      <c r="EC286" s="97"/>
      <c r="ED286" s="97"/>
      <c r="EE286" s="97"/>
      <c r="EF286" s="97"/>
      <c r="EG286" s="97"/>
      <c r="EH286" s="97"/>
      <c r="EI286" s="97"/>
      <c r="EJ286" s="97"/>
      <c r="EK286" s="97"/>
      <c r="EL286" s="97"/>
      <c r="EM286" s="97"/>
      <c r="EN286" s="97"/>
      <c r="EO286" s="97"/>
      <c r="EP286" s="97"/>
      <c r="EQ286" s="97"/>
      <c r="ER286" s="97"/>
      <c r="ES286" s="97"/>
      <c r="ET286" s="97"/>
      <c r="EU286" s="97"/>
      <c r="EV286" s="97"/>
      <c r="EW286" s="97"/>
      <c r="EX286" s="97"/>
      <c r="EY286" s="97"/>
      <c r="EZ286" s="97"/>
      <c r="FA286" s="97"/>
      <c r="FB286" s="97"/>
      <c r="FC286" s="97"/>
      <c r="FD286" s="97"/>
      <c r="FE286" s="97"/>
      <c r="FF286" s="97"/>
      <c r="FG286" s="97"/>
      <c r="FH286" s="97"/>
      <c r="FI286" s="97"/>
      <c r="FJ286" s="97"/>
      <c r="FK286" s="97"/>
      <c r="FL286" s="97"/>
      <c r="FM286" s="97"/>
      <c r="FN286" s="97"/>
      <c r="FO286" s="97"/>
      <c r="FP286" s="97"/>
      <c r="FQ286" s="97"/>
      <c r="FR286" s="97"/>
      <c r="FS286" s="97"/>
      <c r="FT286" s="97"/>
      <c r="FU286" s="97"/>
    </row>
    <row r="287" spans="10:177" s="1" customFormat="1" ht="15.75">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F287" s="97"/>
      <c r="CG287" s="97"/>
      <c r="CH287" s="97"/>
      <c r="CI287" s="97"/>
      <c r="CJ287" s="97"/>
      <c r="CK287" s="97"/>
      <c r="CL287" s="97"/>
      <c r="CM287" s="97"/>
      <c r="CN287" s="97"/>
      <c r="CO287" s="97"/>
      <c r="CP287" s="97"/>
      <c r="CQ287" s="97"/>
      <c r="CR287" s="97"/>
      <c r="CS287" s="97"/>
      <c r="CT287" s="97"/>
      <c r="CU287" s="97"/>
      <c r="CV287" s="97"/>
      <c r="CW287" s="97"/>
      <c r="CX287" s="97"/>
      <c r="CY287" s="97"/>
      <c r="CZ287" s="97"/>
      <c r="DA287" s="97"/>
      <c r="DB287" s="97"/>
      <c r="DC287" s="97"/>
      <c r="DD287" s="97"/>
      <c r="DE287" s="97"/>
      <c r="DF287" s="97"/>
      <c r="DG287" s="97"/>
      <c r="DH287" s="97"/>
      <c r="DI287" s="97"/>
      <c r="DJ287" s="97"/>
      <c r="DK287" s="97"/>
      <c r="DL287" s="97"/>
      <c r="DM287" s="97"/>
      <c r="DN287" s="97"/>
      <c r="DO287" s="97"/>
      <c r="DP287" s="97"/>
      <c r="DQ287" s="97"/>
      <c r="DR287" s="97"/>
      <c r="DS287" s="97"/>
      <c r="DT287" s="97"/>
      <c r="DU287" s="97"/>
      <c r="DV287" s="97"/>
      <c r="DW287" s="97"/>
      <c r="DX287" s="97"/>
      <c r="DY287" s="97"/>
      <c r="DZ287" s="97"/>
      <c r="EA287" s="97"/>
      <c r="EB287" s="97"/>
      <c r="EC287" s="97"/>
      <c r="ED287" s="97"/>
      <c r="EE287" s="97"/>
      <c r="EF287" s="97"/>
      <c r="EG287" s="97"/>
      <c r="EH287" s="97"/>
      <c r="EI287" s="97"/>
      <c r="EJ287" s="97"/>
      <c r="EK287" s="97"/>
      <c r="EL287" s="97"/>
      <c r="EM287" s="97"/>
      <c r="EN287" s="97"/>
      <c r="EO287" s="97"/>
      <c r="EP287" s="97"/>
      <c r="EQ287" s="97"/>
      <c r="ER287" s="97"/>
      <c r="ES287" s="97"/>
      <c r="ET287" s="97"/>
      <c r="EU287" s="97"/>
      <c r="EV287" s="97"/>
      <c r="EW287" s="97"/>
      <c r="EX287" s="97"/>
      <c r="EY287" s="97"/>
      <c r="EZ287" s="97"/>
      <c r="FA287" s="97"/>
      <c r="FB287" s="97"/>
      <c r="FC287" s="97"/>
      <c r="FD287" s="97"/>
      <c r="FE287" s="97"/>
      <c r="FF287" s="97"/>
      <c r="FG287" s="97"/>
      <c r="FH287" s="97"/>
      <c r="FI287" s="97"/>
      <c r="FJ287" s="97"/>
      <c r="FK287" s="97"/>
      <c r="FL287" s="97"/>
      <c r="FM287" s="97"/>
      <c r="FN287" s="97"/>
      <c r="FO287" s="97"/>
      <c r="FP287" s="97"/>
      <c r="FQ287" s="97"/>
      <c r="FR287" s="97"/>
      <c r="FS287" s="97"/>
      <c r="FT287" s="97"/>
      <c r="FU287" s="97"/>
    </row>
    <row r="288" spans="10:177" s="1" customFormat="1" ht="15.75">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c r="DW288" s="97"/>
      <c r="DX288" s="97"/>
      <c r="DY288" s="97"/>
      <c r="DZ288" s="97"/>
      <c r="EA288" s="97"/>
      <c r="EB288" s="97"/>
      <c r="EC288" s="97"/>
      <c r="ED288" s="97"/>
      <c r="EE288" s="97"/>
      <c r="EF288" s="97"/>
      <c r="EG288" s="97"/>
      <c r="EH288" s="97"/>
      <c r="EI288" s="97"/>
      <c r="EJ288" s="97"/>
      <c r="EK288" s="97"/>
      <c r="EL288" s="97"/>
      <c r="EM288" s="97"/>
      <c r="EN288" s="97"/>
      <c r="EO288" s="97"/>
      <c r="EP288" s="97"/>
      <c r="EQ288" s="97"/>
      <c r="ER288" s="97"/>
      <c r="ES288" s="97"/>
      <c r="ET288" s="97"/>
      <c r="EU288" s="97"/>
      <c r="EV288" s="97"/>
      <c r="EW288" s="97"/>
      <c r="EX288" s="97"/>
      <c r="EY288" s="97"/>
      <c r="EZ288" s="97"/>
      <c r="FA288" s="97"/>
      <c r="FB288" s="97"/>
      <c r="FC288" s="97"/>
      <c r="FD288" s="97"/>
      <c r="FE288" s="97"/>
      <c r="FF288" s="97"/>
      <c r="FG288" s="97"/>
      <c r="FH288" s="97"/>
      <c r="FI288" s="97"/>
      <c r="FJ288" s="97"/>
      <c r="FK288" s="97"/>
      <c r="FL288" s="97"/>
      <c r="FM288" s="97"/>
      <c r="FN288" s="97"/>
      <c r="FO288" s="97"/>
      <c r="FP288" s="97"/>
      <c r="FQ288" s="97"/>
      <c r="FR288" s="97"/>
      <c r="FS288" s="97"/>
      <c r="FT288" s="97"/>
      <c r="FU288" s="97"/>
    </row>
    <row r="289" spans="10:177" s="1" customFormat="1" ht="15.75">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c r="CY289" s="97"/>
      <c r="CZ289" s="97"/>
      <c r="DA289" s="97"/>
      <c r="DB289" s="97"/>
      <c r="DC289" s="97"/>
      <c r="DD289" s="97"/>
      <c r="DE289" s="97"/>
      <c r="DF289" s="97"/>
      <c r="DG289" s="97"/>
      <c r="DH289" s="97"/>
      <c r="DI289" s="97"/>
      <c r="DJ289" s="97"/>
      <c r="DK289" s="97"/>
      <c r="DL289" s="97"/>
      <c r="DM289" s="97"/>
      <c r="DN289" s="97"/>
      <c r="DO289" s="97"/>
      <c r="DP289" s="97"/>
      <c r="DQ289" s="97"/>
      <c r="DR289" s="97"/>
      <c r="DS289" s="97"/>
      <c r="DT289" s="97"/>
      <c r="DU289" s="97"/>
      <c r="DV289" s="97"/>
      <c r="DW289" s="97"/>
      <c r="DX289" s="97"/>
      <c r="DY289" s="97"/>
      <c r="DZ289" s="97"/>
      <c r="EA289" s="97"/>
      <c r="EB289" s="97"/>
      <c r="EC289" s="97"/>
      <c r="ED289" s="97"/>
      <c r="EE289" s="97"/>
      <c r="EF289" s="97"/>
      <c r="EG289" s="97"/>
      <c r="EH289" s="97"/>
      <c r="EI289" s="97"/>
      <c r="EJ289" s="97"/>
      <c r="EK289" s="97"/>
      <c r="EL289" s="97"/>
      <c r="EM289" s="97"/>
      <c r="EN289" s="97"/>
      <c r="EO289" s="97"/>
      <c r="EP289" s="97"/>
      <c r="EQ289" s="97"/>
      <c r="ER289" s="97"/>
      <c r="ES289" s="97"/>
      <c r="ET289" s="97"/>
      <c r="EU289" s="97"/>
      <c r="EV289" s="97"/>
      <c r="EW289" s="97"/>
      <c r="EX289" s="97"/>
      <c r="EY289" s="97"/>
      <c r="EZ289" s="97"/>
      <c r="FA289" s="97"/>
      <c r="FB289" s="97"/>
      <c r="FC289" s="97"/>
      <c r="FD289" s="97"/>
      <c r="FE289" s="97"/>
      <c r="FF289" s="97"/>
      <c r="FG289" s="97"/>
      <c r="FH289" s="97"/>
      <c r="FI289" s="97"/>
      <c r="FJ289" s="97"/>
      <c r="FK289" s="97"/>
      <c r="FL289" s="97"/>
      <c r="FM289" s="97"/>
      <c r="FN289" s="97"/>
      <c r="FO289" s="97"/>
      <c r="FP289" s="97"/>
      <c r="FQ289" s="97"/>
      <c r="FR289" s="97"/>
      <c r="FS289" s="97"/>
      <c r="FT289" s="97"/>
      <c r="FU289" s="97"/>
    </row>
    <row r="290" spans="10:177" s="1" customFormat="1" ht="15.75">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c r="CY290" s="97"/>
      <c r="CZ290" s="97"/>
      <c r="DA290" s="97"/>
      <c r="DB290" s="97"/>
      <c r="DC290" s="97"/>
      <c r="DD290" s="97"/>
      <c r="DE290" s="97"/>
      <c r="DF290" s="97"/>
      <c r="DG290" s="97"/>
      <c r="DH290" s="97"/>
      <c r="DI290" s="97"/>
      <c r="DJ290" s="97"/>
      <c r="DK290" s="97"/>
      <c r="DL290" s="97"/>
      <c r="DM290" s="97"/>
      <c r="DN290" s="97"/>
      <c r="DO290" s="97"/>
      <c r="DP290" s="97"/>
      <c r="DQ290" s="97"/>
      <c r="DR290" s="97"/>
      <c r="DS290" s="97"/>
      <c r="DT290" s="97"/>
      <c r="DU290" s="97"/>
      <c r="DV290" s="97"/>
      <c r="DW290" s="97"/>
      <c r="DX290" s="97"/>
      <c r="DY290" s="97"/>
      <c r="DZ290" s="97"/>
      <c r="EA290" s="97"/>
      <c r="EB290" s="97"/>
      <c r="EC290" s="97"/>
      <c r="ED290" s="97"/>
      <c r="EE290" s="97"/>
      <c r="EF290" s="97"/>
      <c r="EG290" s="97"/>
      <c r="EH290" s="97"/>
      <c r="EI290" s="97"/>
      <c r="EJ290" s="97"/>
      <c r="EK290" s="97"/>
      <c r="EL290" s="97"/>
      <c r="EM290" s="97"/>
      <c r="EN290" s="97"/>
      <c r="EO290" s="97"/>
      <c r="EP290" s="97"/>
      <c r="EQ290" s="97"/>
      <c r="ER290" s="97"/>
      <c r="ES290" s="97"/>
      <c r="ET290" s="97"/>
      <c r="EU290" s="97"/>
      <c r="EV290" s="97"/>
      <c r="EW290" s="97"/>
      <c r="EX290" s="97"/>
      <c r="EY290" s="97"/>
      <c r="EZ290" s="97"/>
      <c r="FA290" s="97"/>
      <c r="FB290" s="97"/>
      <c r="FC290" s="97"/>
      <c r="FD290" s="97"/>
      <c r="FE290" s="97"/>
      <c r="FF290" s="97"/>
      <c r="FG290" s="97"/>
      <c r="FH290" s="97"/>
      <c r="FI290" s="97"/>
      <c r="FJ290" s="97"/>
      <c r="FK290" s="97"/>
      <c r="FL290" s="97"/>
      <c r="FM290" s="97"/>
      <c r="FN290" s="97"/>
      <c r="FO290" s="97"/>
      <c r="FP290" s="97"/>
      <c r="FQ290" s="97"/>
      <c r="FR290" s="97"/>
      <c r="FS290" s="97"/>
      <c r="FT290" s="97"/>
      <c r="FU290" s="97"/>
    </row>
    <row r="291" spans="10:177" s="1" customFormat="1" ht="15.75">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c r="CY291" s="97"/>
      <c r="CZ291" s="97"/>
      <c r="DA291" s="97"/>
      <c r="DB291" s="97"/>
      <c r="DC291" s="97"/>
      <c r="DD291" s="97"/>
      <c r="DE291" s="97"/>
      <c r="DF291" s="97"/>
      <c r="DG291" s="97"/>
      <c r="DH291" s="97"/>
      <c r="DI291" s="97"/>
      <c r="DJ291" s="97"/>
      <c r="DK291" s="97"/>
      <c r="DL291" s="97"/>
      <c r="DM291" s="97"/>
      <c r="DN291" s="97"/>
      <c r="DO291" s="97"/>
      <c r="DP291" s="97"/>
      <c r="DQ291" s="97"/>
      <c r="DR291" s="97"/>
      <c r="DS291" s="97"/>
      <c r="DT291" s="97"/>
      <c r="DU291" s="97"/>
      <c r="DV291" s="97"/>
      <c r="DW291" s="97"/>
      <c r="DX291" s="97"/>
      <c r="DY291" s="97"/>
      <c r="DZ291" s="97"/>
      <c r="EA291" s="97"/>
      <c r="EB291" s="97"/>
      <c r="EC291" s="97"/>
      <c r="ED291" s="97"/>
      <c r="EE291" s="97"/>
      <c r="EF291" s="97"/>
      <c r="EG291" s="97"/>
      <c r="EH291" s="97"/>
      <c r="EI291" s="97"/>
      <c r="EJ291" s="97"/>
      <c r="EK291" s="97"/>
      <c r="EL291" s="97"/>
      <c r="EM291" s="97"/>
      <c r="EN291" s="97"/>
      <c r="EO291" s="97"/>
      <c r="EP291" s="97"/>
      <c r="EQ291" s="97"/>
      <c r="ER291" s="97"/>
      <c r="ES291" s="97"/>
      <c r="ET291" s="97"/>
      <c r="EU291" s="97"/>
      <c r="EV291" s="97"/>
      <c r="EW291" s="97"/>
      <c r="EX291" s="97"/>
      <c r="EY291" s="97"/>
      <c r="EZ291" s="97"/>
      <c r="FA291" s="97"/>
      <c r="FB291" s="97"/>
      <c r="FC291" s="97"/>
      <c r="FD291" s="97"/>
      <c r="FE291" s="97"/>
      <c r="FF291" s="97"/>
      <c r="FG291" s="97"/>
      <c r="FH291" s="97"/>
      <c r="FI291" s="97"/>
      <c r="FJ291" s="97"/>
      <c r="FK291" s="97"/>
      <c r="FL291" s="97"/>
      <c r="FM291" s="97"/>
      <c r="FN291" s="97"/>
      <c r="FO291" s="97"/>
      <c r="FP291" s="97"/>
      <c r="FQ291" s="97"/>
      <c r="FR291" s="97"/>
      <c r="FS291" s="97"/>
      <c r="FT291" s="97"/>
      <c r="FU291" s="97"/>
    </row>
    <row r="292" spans="10:177" s="1" customFormat="1" ht="15.75">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c r="DW292" s="97"/>
      <c r="DX292" s="97"/>
      <c r="DY292" s="97"/>
      <c r="DZ292" s="97"/>
      <c r="EA292" s="97"/>
      <c r="EB292" s="97"/>
      <c r="EC292" s="97"/>
      <c r="ED292" s="97"/>
      <c r="EE292" s="97"/>
      <c r="EF292" s="97"/>
      <c r="EG292" s="97"/>
      <c r="EH292" s="97"/>
      <c r="EI292" s="97"/>
      <c r="EJ292" s="97"/>
      <c r="EK292" s="97"/>
      <c r="EL292" s="97"/>
      <c r="EM292" s="97"/>
      <c r="EN292" s="97"/>
      <c r="EO292" s="97"/>
      <c r="EP292" s="97"/>
      <c r="EQ292" s="97"/>
      <c r="ER292" s="97"/>
      <c r="ES292" s="97"/>
      <c r="ET292" s="97"/>
      <c r="EU292" s="97"/>
      <c r="EV292" s="97"/>
      <c r="EW292" s="97"/>
      <c r="EX292" s="97"/>
      <c r="EY292" s="97"/>
      <c r="EZ292" s="97"/>
      <c r="FA292" s="97"/>
      <c r="FB292" s="97"/>
      <c r="FC292" s="97"/>
      <c r="FD292" s="97"/>
      <c r="FE292" s="97"/>
      <c r="FF292" s="97"/>
      <c r="FG292" s="97"/>
      <c r="FH292" s="97"/>
      <c r="FI292" s="97"/>
      <c r="FJ292" s="97"/>
      <c r="FK292" s="97"/>
      <c r="FL292" s="97"/>
      <c r="FM292" s="97"/>
      <c r="FN292" s="97"/>
      <c r="FO292" s="97"/>
      <c r="FP292" s="97"/>
      <c r="FQ292" s="97"/>
      <c r="FR292" s="97"/>
      <c r="FS292" s="97"/>
      <c r="FT292" s="97"/>
      <c r="FU292" s="97"/>
    </row>
    <row r="293" spans="10:177" s="1" customFormat="1" ht="15.75">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c r="DW293" s="97"/>
      <c r="DX293" s="97"/>
      <c r="DY293" s="97"/>
      <c r="DZ293" s="97"/>
      <c r="EA293" s="97"/>
      <c r="EB293" s="97"/>
      <c r="EC293" s="97"/>
      <c r="ED293" s="97"/>
      <c r="EE293" s="97"/>
      <c r="EF293" s="97"/>
      <c r="EG293" s="97"/>
      <c r="EH293" s="97"/>
      <c r="EI293" s="97"/>
      <c r="EJ293" s="97"/>
      <c r="EK293" s="97"/>
      <c r="EL293" s="97"/>
      <c r="EM293" s="97"/>
      <c r="EN293" s="97"/>
      <c r="EO293" s="97"/>
      <c r="EP293" s="97"/>
      <c r="EQ293" s="97"/>
      <c r="ER293" s="97"/>
      <c r="ES293" s="97"/>
      <c r="ET293" s="97"/>
      <c r="EU293" s="97"/>
      <c r="EV293" s="97"/>
      <c r="EW293" s="97"/>
      <c r="EX293" s="97"/>
      <c r="EY293" s="97"/>
      <c r="EZ293" s="97"/>
      <c r="FA293" s="97"/>
      <c r="FB293" s="97"/>
      <c r="FC293" s="97"/>
      <c r="FD293" s="97"/>
      <c r="FE293" s="97"/>
      <c r="FF293" s="97"/>
      <c r="FG293" s="97"/>
      <c r="FH293" s="97"/>
      <c r="FI293" s="97"/>
      <c r="FJ293" s="97"/>
      <c r="FK293" s="97"/>
      <c r="FL293" s="97"/>
      <c r="FM293" s="97"/>
      <c r="FN293" s="97"/>
      <c r="FO293" s="97"/>
      <c r="FP293" s="97"/>
      <c r="FQ293" s="97"/>
      <c r="FR293" s="97"/>
      <c r="FS293" s="97"/>
      <c r="FT293" s="97"/>
      <c r="FU293" s="97"/>
    </row>
    <row r="294" spans="10:177" s="1" customFormat="1" ht="15.75">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c r="CY294" s="97"/>
      <c r="CZ294" s="97"/>
      <c r="DA294" s="97"/>
      <c r="DB294" s="97"/>
      <c r="DC294" s="97"/>
      <c r="DD294" s="97"/>
      <c r="DE294" s="97"/>
      <c r="DF294" s="97"/>
      <c r="DG294" s="97"/>
      <c r="DH294" s="97"/>
      <c r="DI294" s="97"/>
      <c r="DJ294" s="97"/>
      <c r="DK294" s="97"/>
      <c r="DL294" s="97"/>
      <c r="DM294" s="97"/>
      <c r="DN294" s="97"/>
      <c r="DO294" s="97"/>
      <c r="DP294" s="97"/>
      <c r="DQ294" s="97"/>
      <c r="DR294" s="97"/>
      <c r="DS294" s="97"/>
      <c r="DT294" s="97"/>
      <c r="DU294" s="97"/>
      <c r="DV294" s="97"/>
      <c r="DW294" s="97"/>
      <c r="DX294" s="97"/>
      <c r="DY294" s="97"/>
      <c r="DZ294" s="97"/>
      <c r="EA294" s="97"/>
      <c r="EB294" s="97"/>
      <c r="EC294" s="97"/>
      <c r="ED294" s="97"/>
      <c r="EE294" s="97"/>
      <c r="EF294" s="97"/>
      <c r="EG294" s="97"/>
      <c r="EH294" s="97"/>
      <c r="EI294" s="97"/>
      <c r="EJ294" s="97"/>
      <c r="EK294" s="97"/>
      <c r="EL294" s="97"/>
      <c r="EM294" s="97"/>
      <c r="EN294" s="97"/>
      <c r="EO294" s="97"/>
      <c r="EP294" s="97"/>
      <c r="EQ294" s="97"/>
      <c r="ER294" s="97"/>
      <c r="ES294" s="97"/>
      <c r="ET294" s="97"/>
      <c r="EU294" s="97"/>
      <c r="EV294" s="97"/>
      <c r="EW294" s="97"/>
      <c r="EX294" s="97"/>
      <c r="EY294" s="97"/>
      <c r="EZ294" s="97"/>
      <c r="FA294" s="97"/>
      <c r="FB294" s="97"/>
      <c r="FC294" s="97"/>
      <c r="FD294" s="97"/>
      <c r="FE294" s="97"/>
      <c r="FF294" s="97"/>
      <c r="FG294" s="97"/>
      <c r="FH294" s="97"/>
      <c r="FI294" s="97"/>
      <c r="FJ294" s="97"/>
      <c r="FK294" s="97"/>
      <c r="FL294" s="97"/>
      <c r="FM294" s="97"/>
      <c r="FN294" s="97"/>
      <c r="FO294" s="97"/>
      <c r="FP294" s="97"/>
      <c r="FQ294" s="97"/>
      <c r="FR294" s="97"/>
      <c r="FS294" s="97"/>
      <c r="FT294" s="97"/>
      <c r="FU294" s="97"/>
    </row>
    <row r="295" spans="10:177" s="1" customFormat="1" ht="15.75">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c r="CY295" s="97"/>
      <c r="CZ295" s="97"/>
      <c r="DA295" s="97"/>
      <c r="DB295" s="97"/>
      <c r="DC295" s="97"/>
      <c r="DD295" s="97"/>
      <c r="DE295" s="97"/>
      <c r="DF295" s="97"/>
      <c r="DG295" s="97"/>
      <c r="DH295" s="97"/>
      <c r="DI295" s="97"/>
      <c r="DJ295" s="97"/>
      <c r="DK295" s="97"/>
      <c r="DL295" s="97"/>
      <c r="DM295" s="97"/>
      <c r="DN295" s="97"/>
      <c r="DO295" s="97"/>
      <c r="DP295" s="97"/>
      <c r="DQ295" s="97"/>
      <c r="DR295" s="97"/>
      <c r="DS295" s="97"/>
      <c r="DT295" s="97"/>
      <c r="DU295" s="97"/>
      <c r="DV295" s="97"/>
      <c r="DW295" s="97"/>
      <c r="DX295" s="97"/>
      <c r="DY295" s="97"/>
      <c r="DZ295" s="97"/>
      <c r="EA295" s="97"/>
      <c r="EB295" s="97"/>
      <c r="EC295" s="97"/>
      <c r="ED295" s="97"/>
      <c r="EE295" s="97"/>
      <c r="EF295" s="97"/>
      <c r="EG295" s="97"/>
      <c r="EH295" s="97"/>
      <c r="EI295" s="97"/>
      <c r="EJ295" s="97"/>
      <c r="EK295" s="97"/>
      <c r="EL295" s="97"/>
      <c r="EM295" s="97"/>
      <c r="EN295" s="97"/>
      <c r="EO295" s="97"/>
      <c r="EP295" s="97"/>
      <c r="EQ295" s="97"/>
      <c r="ER295" s="97"/>
      <c r="ES295" s="97"/>
      <c r="ET295" s="97"/>
      <c r="EU295" s="97"/>
      <c r="EV295" s="97"/>
      <c r="EW295" s="97"/>
      <c r="EX295" s="97"/>
      <c r="EY295" s="97"/>
      <c r="EZ295" s="97"/>
      <c r="FA295" s="97"/>
      <c r="FB295" s="97"/>
      <c r="FC295" s="97"/>
      <c r="FD295" s="97"/>
      <c r="FE295" s="97"/>
      <c r="FF295" s="97"/>
      <c r="FG295" s="97"/>
      <c r="FH295" s="97"/>
      <c r="FI295" s="97"/>
      <c r="FJ295" s="97"/>
      <c r="FK295" s="97"/>
      <c r="FL295" s="97"/>
      <c r="FM295" s="97"/>
      <c r="FN295" s="97"/>
      <c r="FO295" s="97"/>
      <c r="FP295" s="97"/>
      <c r="FQ295" s="97"/>
      <c r="FR295" s="97"/>
      <c r="FS295" s="97"/>
      <c r="FT295" s="97"/>
      <c r="FU295" s="97"/>
    </row>
    <row r="296" spans="10:177" s="1" customFormat="1" ht="15.75">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7"/>
      <c r="CL296" s="97"/>
      <c r="CM296" s="97"/>
      <c r="CN296" s="97"/>
      <c r="CO296" s="97"/>
      <c r="CP296" s="97"/>
      <c r="CQ296" s="97"/>
      <c r="CR296" s="97"/>
      <c r="CS296" s="97"/>
      <c r="CT296" s="97"/>
      <c r="CU296" s="97"/>
      <c r="CV296" s="97"/>
      <c r="CW296" s="97"/>
      <c r="CX296" s="97"/>
      <c r="CY296" s="97"/>
      <c r="CZ296" s="97"/>
      <c r="DA296" s="97"/>
      <c r="DB296" s="97"/>
      <c r="DC296" s="97"/>
      <c r="DD296" s="97"/>
      <c r="DE296" s="97"/>
      <c r="DF296" s="97"/>
      <c r="DG296" s="97"/>
      <c r="DH296" s="97"/>
      <c r="DI296" s="97"/>
      <c r="DJ296" s="97"/>
      <c r="DK296" s="97"/>
      <c r="DL296" s="97"/>
      <c r="DM296" s="97"/>
      <c r="DN296" s="97"/>
      <c r="DO296" s="97"/>
      <c r="DP296" s="97"/>
      <c r="DQ296" s="97"/>
      <c r="DR296" s="97"/>
      <c r="DS296" s="97"/>
      <c r="DT296" s="97"/>
      <c r="DU296" s="97"/>
      <c r="DV296" s="97"/>
      <c r="DW296" s="97"/>
      <c r="DX296" s="97"/>
      <c r="DY296" s="97"/>
      <c r="DZ296" s="97"/>
      <c r="EA296" s="97"/>
      <c r="EB296" s="97"/>
      <c r="EC296" s="97"/>
      <c r="ED296" s="97"/>
      <c r="EE296" s="97"/>
      <c r="EF296" s="97"/>
      <c r="EG296" s="97"/>
      <c r="EH296" s="97"/>
      <c r="EI296" s="97"/>
      <c r="EJ296" s="97"/>
      <c r="EK296" s="97"/>
      <c r="EL296" s="97"/>
      <c r="EM296" s="97"/>
      <c r="EN296" s="97"/>
      <c r="EO296" s="97"/>
      <c r="EP296" s="97"/>
      <c r="EQ296" s="97"/>
      <c r="ER296" s="97"/>
      <c r="ES296" s="97"/>
      <c r="ET296" s="97"/>
      <c r="EU296" s="97"/>
      <c r="EV296" s="97"/>
      <c r="EW296" s="97"/>
      <c r="EX296" s="97"/>
      <c r="EY296" s="97"/>
      <c r="EZ296" s="97"/>
      <c r="FA296" s="97"/>
      <c r="FB296" s="97"/>
      <c r="FC296" s="97"/>
      <c r="FD296" s="97"/>
      <c r="FE296" s="97"/>
      <c r="FF296" s="97"/>
      <c r="FG296" s="97"/>
      <c r="FH296" s="97"/>
      <c r="FI296" s="97"/>
      <c r="FJ296" s="97"/>
      <c r="FK296" s="97"/>
      <c r="FL296" s="97"/>
      <c r="FM296" s="97"/>
      <c r="FN296" s="97"/>
      <c r="FO296" s="97"/>
      <c r="FP296" s="97"/>
      <c r="FQ296" s="97"/>
      <c r="FR296" s="97"/>
      <c r="FS296" s="97"/>
      <c r="FT296" s="97"/>
      <c r="FU296" s="97"/>
    </row>
    <row r="297" spans="10:177" s="1" customFormat="1" ht="15.75">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7"/>
      <c r="CY297" s="97"/>
      <c r="CZ297" s="97"/>
      <c r="DA297" s="97"/>
      <c r="DB297" s="97"/>
      <c r="DC297" s="97"/>
      <c r="DD297" s="97"/>
      <c r="DE297" s="97"/>
      <c r="DF297" s="97"/>
      <c r="DG297" s="97"/>
      <c r="DH297" s="97"/>
      <c r="DI297" s="97"/>
      <c r="DJ297" s="97"/>
      <c r="DK297" s="97"/>
      <c r="DL297" s="97"/>
      <c r="DM297" s="97"/>
      <c r="DN297" s="97"/>
      <c r="DO297" s="97"/>
      <c r="DP297" s="97"/>
      <c r="DQ297" s="97"/>
      <c r="DR297" s="97"/>
      <c r="DS297" s="97"/>
      <c r="DT297" s="97"/>
      <c r="DU297" s="97"/>
      <c r="DV297" s="97"/>
      <c r="DW297" s="97"/>
      <c r="DX297" s="97"/>
      <c r="DY297" s="97"/>
      <c r="DZ297" s="97"/>
      <c r="EA297" s="97"/>
      <c r="EB297" s="97"/>
      <c r="EC297" s="97"/>
      <c r="ED297" s="97"/>
      <c r="EE297" s="97"/>
      <c r="EF297" s="97"/>
      <c r="EG297" s="97"/>
      <c r="EH297" s="97"/>
      <c r="EI297" s="97"/>
      <c r="EJ297" s="97"/>
      <c r="EK297" s="97"/>
      <c r="EL297" s="97"/>
      <c r="EM297" s="97"/>
      <c r="EN297" s="97"/>
      <c r="EO297" s="97"/>
      <c r="EP297" s="97"/>
      <c r="EQ297" s="97"/>
      <c r="ER297" s="97"/>
      <c r="ES297" s="97"/>
      <c r="ET297" s="97"/>
      <c r="EU297" s="97"/>
      <c r="EV297" s="97"/>
      <c r="EW297" s="97"/>
      <c r="EX297" s="97"/>
      <c r="EY297" s="97"/>
      <c r="EZ297" s="97"/>
      <c r="FA297" s="97"/>
      <c r="FB297" s="97"/>
      <c r="FC297" s="97"/>
      <c r="FD297" s="97"/>
      <c r="FE297" s="97"/>
      <c r="FF297" s="97"/>
      <c r="FG297" s="97"/>
      <c r="FH297" s="97"/>
      <c r="FI297" s="97"/>
      <c r="FJ297" s="97"/>
      <c r="FK297" s="97"/>
      <c r="FL297" s="97"/>
      <c r="FM297" s="97"/>
      <c r="FN297" s="97"/>
      <c r="FO297" s="97"/>
      <c r="FP297" s="97"/>
      <c r="FQ297" s="97"/>
      <c r="FR297" s="97"/>
      <c r="FS297" s="97"/>
      <c r="FT297" s="97"/>
      <c r="FU297" s="97"/>
    </row>
    <row r="298" spans="10:177" s="1" customFormat="1" ht="15.75">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c r="CJ298" s="97"/>
      <c r="CK298" s="97"/>
      <c r="CL298" s="97"/>
      <c r="CM298" s="97"/>
      <c r="CN298" s="97"/>
      <c r="CO298" s="97"/>
      <c r="CP298" s="97"/>
      <c r="CQ298" s="97"/>
      <c r="CR298" s="97"/>
      <c r="CS298" s="97"/>
      <c r="CT298" s="97"/>
      <c r="CU298" s="97"/>
      <c r="CV298" s="97"/>
      <c r="CW298" s="97"/>
      <c r="CX298" s="97"/>
      <c r="CY298" s="97"/>
      <c r="CZ298" s="97"/>
      <c r="DA298" s="97"/>
      <c r="DB298" s="97"/>
      <c r="DC298" s="97"/>
      <c r="DD298" s="97"/>
      <c r="DE298" s="97"/>
      <c r="DF298" s="97"/>
      <c r="DG298" s="97"/>
      <c r="DH298" s="97"/>
      <c r="DI298" s="97"/>
      <c r="DJ298" s="97"/>
      <c r="DK298" s="97"/>
      <c r="DL298" s="97"/>
      <c r="DM298" s="97"/>
      <c r="DN298" s="97"/>
      <c r="DO298" s="97"/>
      <c r="DP298" s="97"/>
      <c r="DQ298" s="97"/>
      <c r="DR298" s="97"/>
      <c r="DS298" s="97"/>
      <c r="DT298" s="97"/>
      <c r="DU298" s="97"/>
      <c r="DV298" s="97"/>
      <c r="DW298" s="97"/>
      <c r="DX298" s="97"/>
      <c r="DY298" s="97"/>
      <c r="DZ298" s="97"/>
      <c r="EA298" s="97"/>
      <c r="EB298" s="97"/>
      <c r="EC298" s="97"/>
      <c r="ED298" s="97"/>
      <c r="EE298" s="97"/>
      <c r="EF298" s="97"/>
      <c r="EG298" s="97"/>
      <c r="EH298" s="97"/>
      <c r="EI298" s="97"/>
      <c r="EJ298" s="97"/>
      <c r="EK298" s="97"/>
      <c r="EL298" s="97"/>
      <c r="EM298" s="97"/>
      <c r="EN298" s="97"/>
      <c r="EO298" s="97"/>
      <c r="EP298" s="97"/>
      <c r="EQ298" s="97"/>
      <c r="ER298" s="97"/>
      <c r="ES298" s="97"/>
      <c r="ET298" s="97"/>
      <c r="EU298" s="97"/>
      <c r="EV298" s="97"/>
      <c r="EW298" s="97"/>
      <c r="EX298" s="97"/>
      <c r="EY298" s="97"/>
      <c r="EZ298" s="97"/>
      <c r="FA298" s="97"/>
      <c r="FB298" s="97"/>
      <c r="FC298" s="97"/>
      <c r="FD298" s="97"/>
      <c r="FE298" s="97"/>
      <c r="FF298" s="97"/>
      <c r="FG298" s="97"/>
      <c r="FH298" s="97"/>
      <c r="FI298" s="97"/>
      <c r="FJ298" s="97"/>
      <c r="FK298" s="97"/>
      <c r="FL298" s="97"/>
      <c r="FM298" s="97"/>
      <c r="FN298" s="97"/>
      <c r="FO298" s="97"/>
      <c r="FP298" s="97"/>
      <c r="FQ298" s="97"/>
      <c r="FR298" s="97"/>
      <c r="FS298" s="97"/>
      <c r="FT298" s="97"/>
      <c r="FU298" s="97"/>
    </row>
    <row r="299" spans="10:177" s="1" customFormat="1" ht="15.75">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7"/>
      <c r="CC299" s="97"/>
      <c r="CD299" s="97"/>
      <c r="CE299" s="97"/>
      <c r="CF299" s="97"/>
      <c r="CG299" s="97"/>
      <c r="CH299" s="97"/>
      <c r="CI299" s="97"/>
      <c r="CJ299" s="97"/>
      <c r="CK299" s="97"/>
      <c r="CL299" s="97"/>
      <c r="CM299" s="97"/>
      <c r="CN299" s="97"/>
      <c r="CO299" s="97"/>
      <c r="CP299" s="97"/>
      <c r="CQ299" s="97"/>
      <c r="CR299" s="97"/>
      <c r="CS299" s="97"/>
      <c r="CT299" s="97"/>
      <c r="CU299" s="97"/>
      <c r="CV299" s="97"/>
      <c r="CW299" s="97"/>
      <c r="CX299" s="97"/>
      <c r="CY299" s="97"/>
      <c r="CZ299" s="97"/>
      <c r="DA299" s="97"/>
      <c r="DB299" s="97"/>
      <c r="DC299" s="97"/>
      <c r="DD299" s="97"/>
      <c r="DE299" s="97"/>
      <c r="DF299" s="97"/>
      <c r="DG299" s="97"/>
      <c r="DH299" s="97"/>
      <c r="DI299" s="97"/>
      <c r="DJ299" s="97"/>
      <c r="DK299" s="97"/>
      <c r="DL299" s="97"/>
      <c r="DM299" s="97"/>
      <c r="DN299" s="97"/>
      <c r="DO299" s="97"/>
      <c r="DP299" s="97"/>
      <c r="DQ299" s="97"/>
      <c r="DR299" s="97"/>
      <c r="DS299" s="97"/>
      <c r="DT299" s="97"/>
      <c r="DU299" s="97"/>
      <c r="DV299" s="97"/>
      <c r="DW299" s="97"/>
      <c r="DX299" s="97"/>
      <c r="DY299" s="97"/>
      <c r="DZ299" s="97"/>
      <c r="EA299" s="97"/>
      <c r="EB299" s="97"/>
      <c r="EC299" s="97"/>
      <c r="ED299" s="97"/>
      <c r="EE299" s="97"/>
      <c r="EF299" s="97"/>
      <c r="EG299" s="97"/>
      <c r="EH299" s="97"/>
      <c r="EI299" s="97"/>
      <c r="EJ299" s="97"/>
      <c r="EK299" s="97"/>
      <c r="EL299" s="97"/>
      <c r="EM299" s="97"/>
      <c r="EN299" s="97"/>
      <c r="EO299" s="97"/>
      <c r="EP299" s="97"/>
      <c r="EQ299" s="97"/>
      <c r="ER299" s="97"/>
      <c r="ES299" s="97"/>
      <c r="ET299" s="97"/>
      <c r="EU299" s="97"/>
      <c r="EV299" s="97"/>
      <c r="EW299" s="97"/>
      <c r="EX299" s="97"/>
      <c r="EY299" s="97"/>
      <c r="EZ299" s="97"/>
      <c r="FA299" s="97"/>
      <c r="FB299" s="97"/>
      <c r="FC299" s="97"/>
      <c r="FD299" s="97"/>
      <c r="FE299" s="97"/>
      <c r="FF299" s="97"/>
      <c r="FG299" s="97"/>
      <c r="FH299" s="97"/>
      <c r="FI299" s="97"/>
      <c r="FJ299" s="97"/>
      <c r="FK299" s="97"/>
      <c r="FL299" s="97"/>
      <c r="FM299" s="97"/>
      <c r="FN299" s="97"/>
      <c r="FO299" s="97"/>
      <c r="FP299" s="97"/>
      <c r="FQ299" s="97"/>
      <c r="FR299" s="97"/>
      <c r="FS299" s="97"/>
      <c r="FT299" s="97"/>
      <c r="FU299" s="97"/>
    </row>
    <row r="300" spans="10:177" s="1" customFormat="1" ht="15.75">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7"/>
      <c r="CC300" s="97"/>
      <c r="CD300" s="97"/>
      <c r="CE300" s="97"/>
      <c r="CF300" s="97"/>
      <c r="CG300" s="97"/>
      <c r="CH300" s="97"/>
      <c r="CI300" s="97"/>
      <c r="CJ300" s="97"/>
      <c r="CK300" s="97"/>
      <c r="CL300" s="97"/>
      <c r="CM300" s="97"/>
      <c r="CN300" s="97"/>
      <c r="CO300" s="97"/>
      <c r="CP300" s="97"/>
      <c r="CQ300" s="97"/>
      <c r="CR300" s="97"/>
      <c r="CS300" s="97"/>
      <c r="CT300" s="97"/>
      <c r="CU300" s="97"/>
      <c r="CV300" s="97"/>
      <c r="CW300" s="97"/>
      <c r="CX300" s="97"/>
      <c r="CY300" s="97"/>
      <c r="CZ300" s="97"/>
      <c r="DA300" s="97"/>
      <c r="DB300" s="97"/>
      <c r="DC300" s="97"/>
      <c r="DD300" s="97"/>
      <c r="DE300" s="97"/>
      <c r="DF300" s="97"/>
      <c r="DG300" s="97"/>
      <c r="DH300" s="97"/>
      <c r="DI300" s="97"/>
      <c r="DJ300" s="97"/>
      <c r="DK300" s="97"/>
      <c r="DL300" s="97"/>
      <c r="DM300" s="97"/>
      <c r="DN300" s="97"/>
      <c r="DO300" s="97"/>
      <c r="DP300" s="97"/>
      <c r="DQ300" s="97"/>
      <c r="DR300" s="97"/>
      <c r="DS300" s="97"/>
      <c r="DT300" s="97"/>
      <c r="DU300" s="97"/>
      <c r="DV300" s="97"/>
      <c r="DW300" s="97"/>
      <c r="DX300" s="97"/>
      <c r="DY300" s="97"/>
      <c r="DZ300" s="97"/>
      <c r="EA300" s="97"/>
      <c r="EB300" s="97"/>
      <c r="EC300" s="97"/>
      <c r="ED300" s="97"/>
      <c r="EE300" s="97"/>
      <c r="EF300" s="97"/>
      <c r="EG300" s="97"/>
      <c r="EH300" s="97"/>
      <c r="EI300" s="97"/>
      <c r="EJ300" s="97"/>
      <c r="EK300" s="97"/>
      <c r="EL300" s="97"/>
      <c r="EM300" s="97"/>
      <c r="EN300" s="97"/>
      <c r="EO300" s="97"/>
      <c r="EP300" s="97"/>
      <c r="EQ300" s="97"/>
      <c r="ER300" s="97"/>
      <c r="ES300" s="97"/>
      <c r="ET300" s="97"/>
      <c r="EU300" s="97"/>
      <c r="EV300" s="97"/>
      <c r="EW300" s="97"/>
      <c r="EX300" s="97"/>
      <c r="EY300" s="97"/>
      <c r="EZ300" s="97"/>
      <c r="FA300" s="97"/>
      <c r="FB300" s="97"/>
      <c r="FC300" s="97"/>
      <c r="FD300" s="97"/>
      <c r="FE300" s="97"/>
      <c r="FF300" s="97"/>
      <c r="FG300" s="97"/>
      <c r="FH300" s="97"/>
      <c r="FI300" s="97"/>
      <c r="FJ300" s="97"/>
      <c r="FK300" s="97"/>
      <c r="FL300" s="97"/>
      <c r="FM300" s="97"/>
      <c r="FN300" s="97"/>
      <c r="FO300" s="97"/>
      <c r="FP300" s="97"/>
      <c r="FQ300" s="97"/>
      <c r="FR300" s="97"/>
      <c r="FS300" s="97"/>
      <c r="FT300" s="97"/>
      <c r="FU300" s="97"/>
    </row>
    <row r="301" spans="10:177" s="1" customFormat="1" ht="15.75">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7"/>
      <c r="CC301" s="97"/>
      <c r="CD301" s="97"/>
      <c r="CE301" s="97"/>
      <c r="CF301" s="97"/>
      <c r="CG301" s="97"/>
      <c r="CH301" s="97"/>
      <c r="CI301" s="97"/>
      <c r="CJ301" s="97"/>
      <c r="CK301" s="97"/>
      <c r="CL301" s="97"/>
      <c r="CM301" s="97"/>
      <c r="CN301" s="97"/>
      <c r="CO301" s="97"/>
      <c r="CP301" s="97"/>
      <c r="CQ301" s="97"/>
      <c r="CR301" s="97"/>
      <c r="CS301" s="97"/>
      <c r="CT301" s="97"/>
      <c r="CU301" s="97"/>
      <c r="CV301" s="97"/>
      <c r="CW301" s="97"/>
      <c r="CX301" s="97"/>
      <c r="CY301" s="97"/>
      <c r="CZ301" s="97"/>
      <c r="DA301" s="97"/>
      <c r="DB301" s="97"/>
      <c r="DC301" s="97"/>
      <c r="DD301" s="97"/>
      <c r="DE301" s="97"/>
      <c r="DF301" s="97"/>
      <c r="DG301" s="97"/>
      <c r="DH301" s="97"/>
      <c r="DI301" s="97"/>
      <c r="DJ301" s="97"/>
      <c r="DK301" s="97"/>
      <c r="DL301" s="97"/>
      <c r="DM301" s="97"/>
      <c r="DN301" s="97"/>
      <c r="DO301" s="97"/>
      <c r="DP301" s="97"/>
      <c r="DQ301" s="97"/>
      <c r="DR301" s="97"/>
      <c r="DS301" s="97"/>
      <c r="DT301" s="97"/>
      <c r="DU301" s="97"/>
      <c r="DV301" s="97"/>
      <c r="DW301" s="97"/>
      <c r="DX301" s="97"/>
      <c r="DY301" s="97"/>
      <c r="DZ301" s="97"/>
      <c r="EA301" s="97"/>
      <c r="EB301" s="97"/>
      <c r="EC301" s="97"/>
      <c r="ED301" s="97"/>
      <c r="EE301" s="97"/>
      <c r="EF301" s="97"/>
      <c r="EG301" s="97"/>
      <c r="EH301" s="97"/>
      <c r="EI301" s="97"/>
      <c r="EJ301" s="97"/>
      <c r="EK301" s="97"/>
      <c r="EL301" s="97"/>
      <c r="EM301" s="97"/>
      <c r="EN301" s="97"/>
      <c r="EO301" s="97"/>
      <c r="EP301" s="97"/>
      <c r="EQ301" s="97"/>
      <c r="ER301" s="97"/>
      <c r="ES301" s="97"/>
      <c r="ET301" s="97"/>
      <c r="EU301" s="97"/>
      <c r="EV301" s="97"/>
      <c r="EW301" s="97"/>
      <c r="EX301" s="97"/>
      <c r="EY301" s="97"/>
      <c r="EZ301" s="97"/>
      <c r="FA301" s="97"/>
      <c r="FB301" s="97"/>
      <c r="FC301" s="97"/>
      <c r="FD301" s="97"/>
      <c r="FE301" s="97"/>
      <c r="FF301" s="97"/>
      <c r="FG301" s="97"/>
      <c r="FH301" s="97"/>
      <c r="FI301" s="97"/>
      <c r="FJ301" s="97"/>
      <c r="FK301" s="97"/>
      <c r="FL301" s="97"/>
      <c r="FM301" s="97"/>
      <c r="FN301" s="97"/>
      <c r="FO301" s="97"/>
      <c r="FP301" s="97"/>
      <c r="FQ301" s="97"/>
      <c r="FR301" s="97"/>
      <c r="FS301" s="97"/>
      <c r="FT301" s="97"/>
      <c r="FU301" s="97"/>
    </row>
    <row r="302" spans="10:177" s="1" customFormat="1" ht="15.75">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7"/>
      <c r="CC302" s="97"/>
      <c r="CD302" s="97"/>
      <c r="CE302" s="97"/>
      <c r="CF302" s="97"/>
      <c r="CG302" s="97"/>
      <c r="CH302" s="97"/>
      <c r="CI302" s="97"/>
      <c r="CJ302" s="97"/>
      <c r="CK302" s="97"/>
      <c r="CL302" s="97"/>
      <c r="CM302" s="97"/>
      <c r="CN302" s="97"/>
      <c r="CO302" s="97"/>
      <c r="CP302" s="97"/>
      <c r="CQ302" s="97"/>
      <c r="CR302" s="97"/>
      <c r="CS302" s="97"/>
      <c r="CT302" s="97"/>
      <c r="CU302" s="97"/>
      <c r="CV302" s="97"/>
      <c r="CW302" s="97"/>
      <c r="CX302" s="97"/>
      <c r="CY302" s="97"/>
      <c r="CZ302" s="97"/>
      <c r="DA302" s="97"/>
      <c r="DB302" s="97"/>
      <c r="DC302" s="97"/>
      <c r="DD302" s="97"/>
      <c r="DE302" s="97"/>
      <c r="DF302" s="97"/>
      <c r="DG302" s="97"/>
      <c r="DH302" s="97"/>
      <c r="DI302" s="97"/>
      <c r="DJ302" s="97"/>
      <c r="DK302" s="97"/>
      <c r="DL302" s="97"/>
      <c r="DM302" s="97"/>
      <c r="DN302" s="97"/>
      <c r="DO302" s="97"/>
      <c r="DP302" s="97"/>
      <c r="DQ302" s="97"/>
      <c r="DR302" s="97"/>
      <c r="DS302" s="97"/>
      <c r="DT302" s="97"/>
      <c r="DU302" s="97"/>
      <c r="DV302" s="97"/>
      <c r="DW302" s="97"/>
      <c r="DX302" s="97"/>
      <c r="DY302" s="97"/>
      <c r="DZ302" s="97"/>
      <c r="EA302" s="97"/>
      <c r="EB302" s="97"/>
      <c r="EC302" s="97"/>
      <c r="ED302" s="97"/>
      <c r="EE302" s="97"/>
      <c r="EF302" s="97"/>
      <c r="EG302" s="97"/>
      <c r="EH302" s="97"/>
      <c r="EI302" s="97"/>
      <c r="EJ302" s="97"/>
      <c r="EK302" s="97"/>
      <c r="EL302" s="97"/>
      <c r="EM302" s="97"/>
      <c r="EN302" s="97"/>
      <c r="EO302" s="97"/>
      <c r="EP302" s="97"/>
      <c r="EQ302" s="97"/>
      <c r="ER302" s="97"/>
      <c r="ES302" s="97"/>
      <c r="ET302" s="97"/>
      <c r="EU302" s="97"/>
      <c r="EV302" s="97"/>
      <c r="EW302" s="97"/>
      <c r="EX302" s="97"/>
      <c r="EY302" s="97"/>
      <c r="EZ302" s="97"/>
      <c r="FA302" s="97"/>
      <c r="FB302" s="97"/>
      <c r="FC302" s="97"/>
      <c r="FD302" s="97"/>
      <c r="FE302" s="97"/>
      <c r="FF302" s="97"/>
      <c r="FG302" s="97"/>
      <c r="FH302" s="97"/>
      <c r="FI302" s="97"/>
      <c r="FJ302" s="97"/>
      <c r="FK302" s="97"/>
      <c r="FL302" s="97"/>
      <c r="FM302" s="97"/>
      <c r="FN302" s="97"/>
      <c r="FO302" s="97"/>
      <c r="FP302" s="97"/>
      <c r="FQ302" s="97"/>
      <c r="FR302" s="97"/>
      <c r="FS302" s="97"/>
      <c r="FT302" s="97"/>
      <c r="FU302" s="97"/>
    </row>
    <row r="303" spans="10:177" s="1" customFormat="1" ht="15.75">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7"/>
      <c r="CC303" s="97"/>
      <c r="CD303" s="97"/>
      <c r="CE303" s="97"/>
      <c r="CF303" s="97"/>
      <c r="CG303" s="97"/>
      <c r="CH303" s="97"/>
      <c r="CI303" s="97"/>
      <c r="CJ303" s="97"/>
      <c r="CK303" s="97"/>
      <c r="CL303" s="97"/>
      <c r="CM303" s="97"/>
      <c r="CN303" s="97"/>
      <c r="CO303" s="97"/>
      <c r="CP303" s="97"/>
      <c r="CQ303" s="97"/>
      <c r="CR303" s="97"/>
      <c r="CS303" s="97"/>
      <c r="CT303" s="97"/>
      <c r="CU303" s="97"/>
      <c r="CV303" s="97"/>
      <c r="CW303" s="97"/>
      <c r="CX303" s="97"/>
      <c r="CY303" s="97"/>
      <c r="CZ303" s="97"/>
      <c r="DA303" s="97"/>
      <c r="DB303" s="97"/>
      <c r="DC303" s="97"/>
      <c r="DD303" s="97"/>
      <c r="DE303" s="97"/>
      <c r="DF303" s="97"/>
      <c r="DG303" s="97"/>
      <c r="DH303" s="97"/>
      <c r="DI303" s="97"/>
      <c r="DJ303" s="97"/>
      <c r="DK303" s="97"/>
      <c r="DL303" s="97"/>
      <c r="DM303" s="97"/>
      <c r="DN303" s="97"/>
      <c r="DO303" s="97"/>
      <c r="DP303" s="97"/>
      <c r="DQ303" s="97"/>
      <c r="DR303" s="97"/>
      <c r="DS303" s="97"/>
      <c r="DT303" s="97"/>
      <c r="DU303" s="97"/>
      <c r="DV303" s="97"/>
      <c r="DW303" s="97"/>
      <c r="DX303" s="97"/>
      <c r="DY303" s="97"/>
      <c r="DZ303" s="97"/>
      <c r="EA303" s="97"/>
      <c r="EB303" s="97"/>
      <c r="EC303" s="97"/>
      <c r="ED303" s="97"/>
      <c r="EE303" s="97"/>
      <c r="EF303" s="97"/>
      <c r="EG303" s="97"/>
      <c r="EH303" s="97"/>
      <c r="EI303" s="97"/>
      <c r="EJ303" s="97"/>
      <c r="EK303" s="97"/>
      <c r="EL303" s="97"/>
      <c r="EM303" s="97"/>
      <c r="EN303" s="97"/>
      <c r="EO303" s="97"/>
      <c r="EP303" s="97"/>
      <c r="EQ303" s="97"/>
      <c r="ER303" s="97"/>
      <c r="ES303" s="97"/>
      <c r="ET303" s="97"/>
      <c r="EU303" s="97"/>
      <c r="EV303" s="97"/>
      <c r="EW303" s="97"/>
      <c r="EX303" s="97"/>
      <c r="EY303" s="97"/>
      <c r="EZ303" s="97"/>
      <c r="FA303" s="97"/>
      <c r="FB303" s="97"/>
      <c r="FC303" s="97"/>
      <c r="FD303" s="97"/>
      <c r="FE303" s="97"/>
      <c r="FF303" s="97"/>
      <c r="FG303" s="97"/>
      <c r="FH303" s="97"/>
      <c r="FI303" s="97"/>
      <c r="FJ303" s="97"/>
      <c r="FK303" s="97"/>
      <c r="FL303" s="97"/>
      <c r="FM303" s="97"/>
      <c r="FN303" s="97"/>
      <c r="FO303" s="97"/>
      <c r="FP303" s="97"/>
      <c r="FQ303" s="97"/>
      <c r="FR303" s="97"/>
      <c r="FS303" s="97"/>
      <c r="FT303" s="97"/>
      <c r="FU303" s="97"/>
    </row>
    <row r="304" spans="10:177" s="1" customFormat="1" ht="15.75">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7"/>
      <c r="CC304" s="97"/>
      <c r="CD304" s="97"/>
      <c r="CE304" s="97"/>
      <c r="CF304" s="97"/>
      <c r="CG304" s="97"/>
      <c r="CH304" s="97"/>
      <c r="CI304" s="97"/>
      <c r="CJ304" s="97"/>
      <c r="CK304" s="97"/>
      <c r="CL304" s="97"/>
      <c r="CM304" s="97"/>
      <c r="CN304" s="97"/>
      <c r="CO304" s="97"/>
      <c r="CP304" s="97"/>
      <c r="CQ304" s="97"/>
      <c r="CR304" s="97"/>
      <c r="CS304" s="97"/>
      <c r="CT304" s="97"/>
      <c r="CU304" s="97"/>
      <c r="CV304" s="97"/>
      <c r="CW304" s="97"/>
      <c r="CX304" s="97"/>
      <c r="CY304" s="97"/>
      <c r="CZ304" s="97"/>
      <c r="DA304" s="97"/>
      <c r="DB304" s="97"/>
      <c r="DC304" s="97"/>
      <c r="DD304" s="97"/>
      <c r="DE304" s="97"/>
      <c r="DF304" s="97"/>
      <c r="DG304" s="97"/>
      <c r="DH304" s="97"/>
      <c r="DI304" s="97"/>
      <c r="DJ304" s="97"/>
      <c r="DK304" s="97"/>
      <c r="DL304" s="97"/>
      <c r="DM304" s="97"/>
      <c r="DN304" s="97"/>
      <c r="DO304" s="97"/>
      <c r="DP304" s="97"/>
      <c r="DQ304" s="97"/>
      <c r="DR304" s="97"/>
      <c r="DS304" s="97"/>
      <c r="DT304" s="97"/>
      <c r="DU304" s="97"/>
      <c r="DV304" s="97"/>
      <c r="DW304" s="97"/>
      <c r="DX304" s="97"/>
      <c r="DY304" s="97"/>
      <c r="DZ304" s="97"/>
      <c r="EA304" s="97"/>
      <c r="EB304" s="97"/>
      <c r="EC304" s="97"/>
      <c r="ED304" s="97"/>
      <c r="EE304" s="97"/>
      <c r="EF304" s="97"/>
      <c r="EG304" s="97"/>
      <c r="EH304" s="97"/>
      <c r="EI304" s="97"/>
      <c r="EJ304" s="97"/>
      <c r="EK304" s="97"/>
      <c r="EL304" s="97"/>
      <c r="EM304" s="97"/>
      <c r="EN304" s="97"/>
      <c r="EO304" s="97"/>
      <c r="EP304" s="97"/>
      <c r="EQ304" s="97"/>
      <c r="ER304" s="97"/>
      <c r="ES304" s="97"/>
      <c r="ET304" s="97"/>
      <c r="EU304" s="97"/>
      <c r="EV304" s="97"/>
      <c r="EW304" s="97"/>
      <c r="EX304" s="97"/>
      <c r="EY304" s="97"/>
      <c r="EZ304" s="97"/>
      <c r="FA304" s="97"/>
      <c r="FB304" s="97"/>
      <c r="FC304" s="97"/>
      <c r="FD304" s="97"/>
      <c r="FE304" s="97"/>
      <c r="FF304" s="97"/>
      <c r="FG304" s="97"/>
      <c r="FH304" s="97"/>
      <c r="FI304" s="97"/>
      <c r="FJ304" s="97"/>
      <c r="FK304" s="97"/>
      <c r="FL304" s="97"/>
      <c r="FM304" s="97"/>
      <c r="FN304" s="97"/>
      <c r="FO304" s="97"/>
      <c r="FP304" s="97"/>
      <c r="FQ304" s="97"/>
      <c r="FR304" s="97"/>
      <c r="FS304" s="97"/>
      <c r="FT304" s="97"/>
      <c r="FU304" s="97"/>
    </row>
    <row r="305" spans="10:177" s="1" customFormat="1" ht="15.75">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c r="CY305" s="97"/>
      <c r="CZ305" s="97"/>
      <c r="DA305" s="97"/>
      <c r="DB305" s="97"/>
      <c r="DC305" s="97"/>
      <c r="DD305" s="97"/>
      <c r="DE305" s="97"/>
      <c r="DF305" s="97"/>
      <c r="DG305" s="97"/>
      <c r="DH305" s="97"/>
      <c r="DI305" s="97"/>
      <c r="DJ305" s="97"/>
      <c r="DK305" s="97"/>
      <c r="DL305" s="97"/>
      <c r="DM305" s="97"/>
      <c r="DN305" s="97"/>
      <c r="DO305" s="97"/>
      <c r="DP305" s="97"/>
      <c r="DQ305" s="97"/>
      <c r="DR305" s="97"/>
      <c r="DS305" s="97"/>
      <c r="DT305" s="97"/>
      <c r="DU305" s="97"/>
      <c r="DV305" s="97"/>
      <c r="DW305" s="97"/>
      <c r="DX305" s="97"/>
      <c r="DY305" s="97"/>
      <c r="DZ305" s="97"/>
      <c r="EA305" s="97"/>
      <c r="EB305" s="97"/>
      <c r="EC305" s="97"/>
      <c r="ED305" s="97"/>
      <c r="EE305" s="97"/>
      <c r="EF305" s="97"/>
      <c r="EG305" s="97"/>
      <c r="EH305" s="97"/>
      <c r="EI305" s="97"/>
      <c r="EJ305" s="97"/>
      <c r="EK305" s="97"/>
      <c r="EL305" s="97"/>
      <c r="EM305" s="97"/>
      <c r="EN305" s="97"/>
      <c r="EO305" s="97"/>
      <c r="EP305" s="97"/>
      <c r="EQ305" s="97"/>
      <c r="ER305" s="97"/>
      <c r="ES305" s="97"/>
      <c r="ET305" s="97"/>
      <c r="EU305" s="97"/>
      <c r="EV305" s="97"/>
      <c r="EW305" s="97"/>
      <c r="EX305" s="97"/>
      <c r="EY305" s="97"/>
      <c r="EZ305" s="97"/>
      <c r="FA305" s="97"/>
      <c r="FB305" s="97"/>
      <c r="FC305" s="97"/>
      <c r="FD305" s="97"/>
      <c r="FE305" s="97"/>
      <c r="FF305" s="97"/>
      <c r="FG305" s="97"/>
      <c r="FH305" s="97"/>
      <c r="FI305" s="97"/>
      <c r="FJ305" s="97"/>
      <c r="FK305" s="97"/>
      <c r="FL305" s="97"/>
      <c r="FM305" s="97"/>
      <c r="FN305" s="97"/>
      <c r="FO305" s="97"/>
      <c r="FP305" s="97"/>
      <c r="FQ305" s="97"/>
      <c r="FR305" s="97"/>
      <c r="FS305" s="97"/>
      <c r="FT305" s="97"/>
      <c r="FU305" s="97"/>
    </row>
    <row r="306" spans="10:177" s="1" customFormat="1" ht="15.75">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7"/>
      <c r="CC306" s="97"/>
      <c r="CD306" s="97"/>
      <c r="CE306" s="97"/>
      <c r="CF306" s="97"/>
      <c r="CG306" s="97"/>
      <c r="CH306" s="97"/>
      <c r="CI306" s="97"/>
      <c r="CJ306" s="97"/>
      <c r="CK306" s="97"/>
      <c r="CL306" s="97"/>
      <c r="CM306" s="97"/>
      <c r="CN306" s="97"/>
      <c r="CO306" s="97"/>
      <c r="CP306" s="97"/>
      <c r="CQ306" s="97"/>
      <c r="CR306" s="97"/>
      <c r="CS306" s="97"/>
      <c r="CT306" s="97"/>
      <c r="CU306" s="97"/>
      <c r="CV306" s="97"/>
      <c r="CW306" s="97"/>
      <c r="CX306" s="97"/>
      <c r="CY306" s="97"/>
      <c r="CZ306" s="97"/>
      <c r="DA306" s="97"/>
      <c r="DB306" s="97"/>
      <c r="DC306" s="97"/>
      <c r="DD306" s="97"/>
      <c r="DE306" s="97"/>
      <c r="DF306" s="97"/>
      <c r="DG306" s="97"/>
      <c r="DH306" s="97"/>
      <c r="DI306" s="97"/>
      <c r="DJ306" s="97"/>
      <c r="DK306" s="97"/>
      <c r="DL306" s="97"/>
      <c r="DM306" s="97"/>
      <c r="DN306" s="97"/>
      <c r="DO306" s="97"/>
      <c r="DP306" s="97"/>
      <c r="DQ306" s="97"/>
      <c r="DR306" s="97"/>
      <c r="DS306" s="97"/>
      <c r="DT306" s="97"/>
      <c r="DU306" s="97"/>
      <c r="DV306" s="97"/>
      <c r="DW306" s="97"/>
      <c r="DX306" s="97"/>
      <c r="DY306" s="97"/>
      <c r="DZ306" s="97"/>
      <c r="EA306" s="97"/>
      <c r="EB306" s="97"/>
      <c r="EC306" s="97"/>
      <c r="ED306" s="97"/>
      <c r="EE306" s="97"/>
      <c r="EF306" s="97"/>
      <c r="EG306" s="97"/>
      <c r="EH306" s="97"/>
      <c r="EI306" s="97"/>
      <c r="EJ306" s="97"/>
      <c r="EK306" s="97"/>
      <c r="EL306" s="97"/>
      <c r="EM306" s="97"/>
      <c r="EN306" s="97"/>
      <c r="EO306" s="97"/>
      <c r="EP306" s="97"/>
      <c r="EQ306" s="97"/>
      <c r="ER306" s="97"/>
      <c r="ES306" s="97"/>
      <c r="ET306" s="97"/>
      <c r="EU306" s="97"/>
      <c r="EV306" s="97"/>
      <c r="EW306" s="97"/>
      <c r="EX306" s="97"/>
      <c r="EY306" s="97"/>
      <c r="EZ306" s="97"/>
      <c r="FA306" s="97"/>
      <c r="FB306" s="97"/>
      <c r="FC306" s="97"/>
      <c r="FD306" s="97"/>
      <c r="FE306" s="97"/>
      <c r="FF306" s="97"/>
      <c r="FG306" s="97"/>
      <c r="FH306" s="97"/>
      <c r="FI306" s="97"/>
      <c r="FJ306" s="97"/>
      <c r="FK306" s="97"/>
      <c r="FL306" s="97"/>
      <c r="FM306" s="97"/>
      <c r="FN306" s="97"/>
      <c r="FO306" s="97"/>
      <c r="FP306" s="97"/>
      <c r="FQ306" s="97"/>
      <c r="FR306" s="97"/>
      <c r="FS306" s="97"/>
      <c r="FT306" s="97"/>
      <c r="FU306" s="97"/>
    </row>
    <row r="307" spans="10:177" s="1" customFormat="1" ht="15.75">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97"/>
      <c r="DJ307" s="97"/>
      <c r="DK307" s="97"/>
      <c r="DL307" s="97"/>
      <c r="DM307" s="97"/>
      <c r="DN307" s="97"/>
      <c r="DO307" s="97"/>
      <c r="DP307" s="97"/>
      <c r="DQ307" s="97"/>
      <c r="DR307" s="97"/>
      <c r="DS307" s="97"/>
      <c r="DT307" s="97"/>
      <c r="DU307" s="97"/>
      <c r="DV307" s="97"/>
      <c r="DW307" s="97"/>
      <c r="DX307" s="97"/>
      <c r="DY307" s="97"/>
      <c r="DZ307" s="97"/>
      <c r="EA307" s="97"/>
      <c r="EB307" s="97"/>
      <c r="EC307" s="97"/>
      <c r="ED307" s="97"/>
      <c r="EE307" s="97"/>
      <c r="EF307" s="97"/>
      <c r="EG307" s="97"/>
      <c r="EH307" s="97"/>
      <c r="EI307" s="97"/>
      <c r="EJ307" s="97"/>
      <c r="EK307" s="97"/>
      <c r="EL307" s="97"/>
      <c r="EM307" s="97"/>
      <c r="EN307" s="97"/>
      <c r="EO307" s="97"/>
      <c r="EP307" s="97"/>
      <c r="EQ307" s="97"/>
      <c r="ER307" s="97"/>
      <c r="ES307" s="97"/>
      <c r="ET307" s="97"/>
      <c r="EU307" s="97"/>
      <c r="EV307" s="97"/>
      <c r="EW307" s="97"/>
      <c r="EX307" s="97"/>
      <c r="EY307" s="97"/>
      <c r="EZ307" s="97"/>
      <c r="FA307" s="97"/>
      <c r="FB307" s="97"/>
      <c r="FC307" s="97"/>
      <c r="FD307" s="97"/>
      <c r="FE307" s="97"/>
      <c r="FF307" s="97"/>
      <c r="FG307" s="97"/>
      <c r="FH307" s="97"/>
      <c r="FI307" s="97"/>
      <c r="FJ307" s="97"/>
      <c r="FK307" s="97"/>
      <c r="FL307" s="97"/>
      <c r="FM307" s="97"/>
      <c r="FN307" s="97"/>
      <c r="FO307" s="97"/>
      <c r="FP307" s="97"/>
      <c r="FQ307" s="97"/>
      <c r="FR307" s="97"/>
      <c r="FS307" s="97"/>
      <c r="FT307" s="97"/>
      <c r="FU307" s="97"/>
    </row>
    <row r="308" spans="10:177" s="1" customFormat="1" ht="15.75">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c r="CY308" s="97"/>
      <c r="CZ308" s="97"/>
      <c r="DA308" s="97"/>
      <c r="DB308" s="97"/>
      <c r="DC308" s="97"/>
      <c r="DD308" s="97"/>
      <c r="DE308" s="97"/>
      <c r="DF308" s="97"/>
      <c r="DG308" s="97"/>
      <c r="DH308" s="97"/>
      <c r="DI308" s="97"/>
      <c r="DJ308" s="97"/>
      <c r="DK308" s="97"/>
      <c r="DL308" s="97"/>
      <c r="DM308" s="97"/>
      <c r="DN308" s="97"/>
      <c r="DO308" s="97"/>
      <c r="DP308" s="97"/>
      <c r="DQ308" s="97"/>
      <c r="DR308" s="97"/>
      <c r="DS308" s="97"/>
      <c r="DT308" s="97"/>
      <c r="DU308" s="97"/>
      <c r="DV308" s="97"/>
      <c r="DW308" s="97"/>
      <c r="DX308" s="97"/>
      <c r="DY308" s="97"/>
      <c r="DZ308" s="97"/>
      <c r="EA308" s="97"/>
      <c r="EB308" s="97"/>
      <c r="EC308" s="97"/>
      <c r="ED308" s="97"/>
      <c r="EE308" s="97"/>
      <c r="EF308" s="97"/>
      <c r="EG308" s="97"/>
      <c r="EH308" s="97"/>
      <c r="EI308" s="97"/>
      <c r="EJ308" s="97"/>
      <c r="EK308" s="97"/>
      <c r="EL308" s="97"/>
      <c r="EM308" s="97"/>
      <c r="EN308" s="97"/>
      <c r="EO308" s="97"/>
      <c r="EP308" s="97"/>
      <c r="EQ308" s="97"/>
      <c r="ER308" s="97"/>
      <c r="ES308" s="97"/>
      <c r="ET308" s="97"/>
      <c r="EU308" s="97"/>
      <c r="EV308" s="97"/>
      <c r="EW308" s="97"/>
      <c r="EX308" s="97"/>
      <c r="EY308" s="97"/>
      <c r="EZ308" s="97"/>
      <c r="FA308" s="97"/>
      <c r="FB308" s="97"/>
      <c r="FC308" s="97"/>
      <c r="FD308" s="97"/>
      <c r="FE308" s="97"/>
      <c r="FF308" s="97"/>
      <c r="FG308" s="97"/>
      <c r="FH308" s="97"/>
      <c r="FI308" s="97"/>
      <c r="FJ308" s="97"/>
      <c r="FK308" s="97"/>
      <c r="FL308" s="97"/>
      <c r="FM308" s="97"/>
      <c r="FN308" s="97"/>
      <c r="FO308" s="97"/>
      <c r="FP308" s="97"/>
      <c r="FQ308" s="97"/>
      <c r="FR308" s="97"/>
      <c r="FS308" s="97"/>
      <c r="FT308" s="97"/>
      <c r="FU308" s="97"/>
    </row>
    <row r="309" spans="10:177" s="1" customFormat="1" ht="15.75">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c r="DW309" s="97"/>
      <c r="DX309" s="97"/>
      <c r="DY309" s="97"/>
      <c r="DZ309" s="97"/>
      <c r="EA309" s="97"/>
      <c r="EB309" s="97"/>
      <c r="EC309" s="97"/>
      <c r="ED309" s="97"/>
      <c r="EE309" s="97"/>
      <c r="EF309" s="97"/>
      <c r="EG309" s="97"/>
      <c r="EH309" s="97"/>
      <c r="EI309" s="97"/>
      <c r="EJ309" s="97"/>
      <c r="EK309" s="97"/>
      <c r="EL309" s="97"/>
      <c r="EM309" s="97"/>
      <c r="EN309" s="97"/>
      <c r="EO309" s="97"/>
      <c r="EP309" s="97"/>
      <c r="EQ309" s="97"/>
      <c r="ER309" s="97"/>
      <c r="ES309" s="97"/>
      <c r="ET309" s="97"/>
      <c r="EU309" s="97"/>
      <c r="EV309" s="97"/>
      <c r="EW309" s="97"/>
      <c r="EX309" s="97"/>
      <c r="EY309" s="97"/>
      <c r="EZ309" s="97"/>
      <c r="FA309" s="97"/>
      <c r="FB309" s="97"/>
      <c r="FC309" s="97"/>
      <c r="FD309" s="97"/>
      <c r="FE309" s="97"/>
      <c r="FF309" s="97"/>
      <c r="FG309" s="97"/>
      <c r="FH309" s="97"/>
      <c r="FI309" s="97"/>
      <c r="FJ309" s="97"/>
      <c r="FK309" s="97"/>
      <c r="FL309" s="97"/>
      <c r="FM309" s="97"/>
      <c r="FN309" s="97"/>
      <c r="FO309" s="97"/>
      <c r="FP309" s="97"/>
      <c r="FQ309" s="97"/>
      <c r="FR309" s="97"/>
      <c r="FS309" s="97"/>
      <c r="FT309" s="97"/>
      <c r="FU309" s="97"/>
    </row>
    <row r="310" spans="10:177" s="1" customFormat="1" ht="15.75">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c r="CY310" s="97"/>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c r="DW310" s="97"/>
      <c r="DX310" s="97"/>
      <c r="DY310" s="97"/>
      <c r="DZ310" s="97"/>
      <c r="EA310" s="97"/>
      <c r="EB310" s="97"/>
      <c r="EC310" s="97"/>
      <c r="ED310" s="97"/>
      <c r="EE310" s="97"/>
      <c r="EF310" s="97"/>
      <c r="EG310" s="97"/>
      <c r="EH310" s="97"/>
      <c r="EI310" s="97"/>
      <c r="EJ310" s="97"/>
      <c r="EK310" s="97"/>
      <c r="EL310" s="97"/>
      <c r="EM310" s="97"/>
      <c r="EN310" s="97"/>
      <c r="EO310" s="97"/>
      <c r="EP310" s="97"/>
      <c r="EQ310" s="97"/>
      <c r="ER310" s="97"/>
      <c r="ES310" s="97"/>
      <c r="ET310" s="97"/>
      <c r="EU310" s="97"/>
      <c r="EV310" s="97"/>
      <c r="EW310" s="97"/>
      <c r="EX310" s="97"/>
      <c r="EY310" s="97"/>
      <c r="EZ310" s="97"/>
      <c r="FA310" s="97"/>
      <c r="FB310" s="97"/>
      <c r="FC310" s="97"/>
      <c r="FD310" s="97"/>
      <c r="FE310" s="97"/>
      <c r="FF310" s="97"/>
      <c r="FG310" s="97"/>
      <c r="FH310" s="97"/>
      <c r="FI310" s="97"/>
      <c r="FJ310" s="97"/>
      <c r="FK310" s="97"/>
      <c r="FL310" s="97"/>
      <c r="FM310" s="97"/>
      <c r="FN310" s="97"/>
      <c r="FO310" s="97"/>
      <c r="FP310" s="97"/>
      <c r="FQ310" s="97"/>
      <c r="FR310" s="97"/>
      <c r="FS310" s="97"/>
      <c r="FT310" s="97"/>
      <c r="FU310" s="97"/>
    </row>
    <row r="311" spans="10:177" s="1" customFormat="1" ht="15.75">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97"/>
      <c r="DJ311" s="97"/>
      <c r="DK311" s="97"/>
      <c r="DL311" s="97"/>
      <c r="DM311" s="97"/>
      <c r="DN311" s="97"/>
      <c r="DO311" s="97"/>
      <c r="DP311" s="97"/>
      <c r="DQ311" s="97"/>
      <c r="DR311" s="97"/>
      <c r="DS311" s="97"/>
      <c r="DT311" s="97"/>
      <c r="DU311" s="97"/>
      <c r="DV311" s="97"/>
      <c r="DW311" s="97"/>
      <c r="DX311" s="97"/>
      <c r="DY311" s="97"/>
      <c r="DZ311" s="97"/>
      <c r="EA311" s="97"/>
      <c r="EB311" s="97"/>
      <c r="EC311" s="97"/>
      <c r="ED311" s="97"/>
      <c r="EE311" s="97"/>
      <c r="EF311" s="97"/>
      <c r="EG311" s="97"/>
      <c r="EH311" s="97"/>
      <c r="EI311" s="97"/>
      <c r="EJ311" s="97"/>
      <c r="EK311" s="97"/>
      <c r="EL311" s="97"/>
      <c r="EM311" s="97"/>
      <c r="EN311" s="97"/>
      <c r="EO311" s="97"/>
      <c r="EP311" s="97"/>
      <c r="EQ311" s="97"/>
      <c r="ER311" s="97"/>
      <c r="ES311" s="97"/>
      <c r="ET311" s="97"/>
      <c r="EU311" s="97"/>
      <c r="EV311" s="97"/>
      <c r="EW311" s="97"/>
      <c r="EX311" s="97"/>
      <c r="EY311" s="97"/>
      <c r="EZ311" s="97"/>
      <c r="FA311" s="97"/>
      <c r="FB311" s="97"/>
      <c r="FC311" s="97"/>
      <c r="FD311" s="97"/>
      <c r="FE311" s="97"/>
      <c r="FF311" s="97"/>
      <c r="FG311" s="97"/>
      <c r="FH311" s="97"/>
      <c r="FI311" s="97"/>
      <c r="FJ311" s="97"/>
      <c r="FK311" s="97"/>
      <c r="FL311" s="97"/>
      <c r="FM311" s="97"/>
      <c r="FN311" s="97"/>
      <c r="FO311" s="97"/>
      <c r="FP311" s="97"/>
      <c r="FQ311" s="97"/>
      <c r="FR311" s="97"/>
      <c r="FS311" s="97"/>
      <c r="FT311" s="97"/>
      <c r="FU311" s="97"/>
    </row>
    <row r="312" spans="10:177" s="1" customFormat="1" ht="15.75">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c r="CY312" s="97"/>
      <c r="CZ312" s="97"/>
      <c r="DA312" s="97"/>
      <c r="DB312" s="97"/>
      <c r="DC312" s="97"/>
      <c r="DD312" s="97"/>
      <c r="DE312" s="97"/>
      <c r="DF312" s="97"/>
      <c r="DG312" s="97"/>
      <c r="DH312" s="97"/>
      <c r="DI312" s="97"/>
      <c r="DJ312" s="97"/>
      <c r="DK312" s="97"/>
      <c r="DL312" s="97"/>
      <c r="DM312" s="97"/>
      <c r="DN312" s="97"/>
      <c r="DO312" s="97"/>
      <c r="DP312" s="97"/>
      <c r="DQ312" s="97"/>
      <c r="DR312" s="97"/>
      <c r="DS312" s="97"/>
      <c r="DT312" s="97"/>
      <c r="DU312" s="97"/>
      <c r="DV312" s="97"/>
      <c r="DW312" s="97"/>
      <c r="DX312" s="97"/>
      <c r="DY312" s="97"/>
      <c r="DZ312" s="97"/>
      <c r="EA312" s="97"/>
      <c r="EB312" s="97"/>
      <c r="EC312" s="97"/>
      <c r="ED312" s="97"/>
      <c r="EE312" s="97"/>
      <c r="EF312" s="97"/>
      <c r="EG312" s="97"/>
      <c r="EH312" s="97"/>
      <c r="EI312" s="97"/>
      <c r="EJ312" s="97"/>
      <c r="EK312" s="97"/>
      <c r="EL312" s="97"/>
      <c r="EM312" s="97"/>
      <c r="EN312" s="97"/>
      <c r="EO312" s="97"/>
      <c r="EP312" s="97"/>
      <c r="EQ312" s="97"/>
      <c r="ER312" s="97"/>
      <c r="ES312" s="97"/>
      <c r="ET312" s="97"/>
      <c r="EU312" s="97"/>
      <c r="EV312" s="97"/>
      <c r="EW312" s="97"/>
      <c r="EX312" s="97"/>
      <c r="EY312" s="97"/>
      <c r="EZ312" s="97"/>
      <c r="FA312" s="97"/>
      <c r="FB312" s="97"/>
      <c r="FC312" s="97"/>
      <c r="FD312" s="97"/>
      <c r="FE312" s="97"/>
      <c r="FF312" s="97"/>
      <c r="FG312" s="97"/>
      <c r="FH312" s="97"/>
      <c r="FI312" s="97"/>
      <c r="FJ312" s="97"/>
      <c r="FK312" s="97"/>
      <c r="FL312" s="97"/>
      <c r="FM312" s="97"/>
      <c r="FN312" s="97"/>
      <c r="FO312" s="97"/>
      <c r="FP312" s="97"/>
      <c r="FQ312" s="97"/>
      <c r="FR312" s="97"/>
      <c r="FS312" s="97"/>
      <c r="FT312" s="97"/>
      <c r="FU312" s="97"/>
    </row>
    <row r="313" spans="10:177" s="1" customFormat="1" ht="15.75">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7"/>
      <c r="CO313" s="97"/>
      <c r="CP313" s="97"/>
      <c r="CQ313" s="97"/>
      <c r="CR313" s="97"/>
      <c r="CS313" s="97"/>
      <c r="CT313" s="97"/>
      <c r="CU313" s="97"/>
      <c r="CV313" s="97"/>
      <c r="CW313" s="97"/>
      <c r="CX313" s="97"/>
      <c r="CY313" s="97"/>
      <c r="CZ313" s="97"/>
      <c r="DA313" s="97"/>
      <c r="DB313" s="97"/>
      <c r="DC313" s="97"/>
      <c r="DD313" s="97"/>
      <c r="DE313" s="97"/>
      <c r="DF313" s="97"/>
      <c r="DG313" s="97"/>
      <c r="DH313" s="97"/>
      <c r="DI313" s="97"/>
      <c r="DJ313" s="97"/>
      <c r="DK313" s="97"/>
      <c r="DL313" s="97"/>
      <c r="DM313" s="97"/>
      <c r="DN313" s="97"/>
      <c r="DO313" s="97"/>
      <c r="DP313" s="97"/>
      <c r="DQ313" s="97"/>
      <c r="DR313" s="97"/>
      <c r="DS313" s="97"/>
      <c r="DT313" s="97"/>
      <c r="DU313" s="97"/>
      <c r="DV313" s="97"/>
      <c r="DW313" s="97"/>
      <c r="DX313" s="97"/>
      <c r="DY313" s="97"/>
      <c r="DZ313" s="97"/>
      <c r="EA313" s="97"/>
      <c r="EB313" s="97"/>
      <c r="EC313" s="97"/>
      <c r="ED313" s="97"/>
      <c r="EE313" s="97"/>
      <c r="EF313" s="97"/>
      <c r="EG313" s="97"/>
      <c r="EH313" s="97"/>
      <c r="EI313" s="97"/>
      <c r="EJ313" s="97"/>
      <c r="EK313" s="97"/>
      <c r="EL313" s="97"/>
      <c r="EM313" s="97"/>
      <c r="EN313" s="97"/>
      <c r="EO313" s="97"/>
      <c r="EP313" s="97"/>
      <c r="EQ313" s="97"/>
      <c r="ER313" s="97"/>
      <c r="ES313" s="97"/>
      <c r="ET313" s="97"/>
      <c r="EU313" s="97"/>
      <c r="EV313" s="97"/>
      <c r="EW313" s="97"/>
      <c r="EX313" s="97"/>
      <c r="EY313" s="97"/>
      <c r="EZ313" s="97"/>
      <c r="FA313" s="97"/>
      <c r="FB313" s="97"/>
      <c r="FC313" s="97"/>
      <c r="FD313" s="97"/>
      <c r="FE313" s="97"/>
      <c r="FF313" s="97"/>
      <c r="FG313" s="97"/>
      <c r="FH313" s="97"/>
      <c r="FI313" s="97"/>
      <c r="FJ313" s="97"/>
      <c r="FK313" s="97"/>
      <c r="FL313" s="97"/>
      <c r="FM313" s="97"/>
      <c r="FN313" s="97"/>
      <c r="FO313" s="97"/>
      <c r="FP313" s="97"/>
      <c r="FQ313" s="97"/>
      <c r="FR313" s="97"/>
      <c r="FS313" s="97"/>
      <c r="FT313" s="97"/>
      <c r="FU313" s="97"/>
    </row>
    <row r="314" spans="10:177" s="1" customFormat="1" ht="15.75">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7"/>
      <c r="CU314" s="97"/>
      <c r="CV314" s="97"/>
      <c r="CW314" s="97"/>
      <c r="CX314" s="97"/>
      <c r="CY314" s="97"/>
      <c r="CZ314" s="97"/>
      <c r="DA314" s="97"/>
      <c r="DB314" s="97"/>
      <c r="DC314" s="97"/>
      <c r="DD314" s="97"/>
      <c r="DE314" s="97"/>
      <c r="DF314" s="97"/>
      <c r="DG314" s="97"/>
      <c r="DH314" s="97"/>
      <c r="DI314" s="97"/>
      <c r="DJ314" s="97"/>
      <c r="DK314" s="97"/>
      <c r="DL314" s="97"/>
      <c r="DM314" s="97"/>
      <c r="DN314" s="97"/>
      <c r="DO314" s="97"/>
      <c r="DP314" s="97"/>
      <c r="DQ314" s="97"/>
      <c r="DR314" s="97"/>
      <c r="DS314" s="97"/>
      <c r="DT314" s="97"/>
      <c r="DU314" s="97"/>
      <c r="DV314" s="97"/>
      <c r="DW314" s="97"/>
      <c r="DX314" s="97"/>
      <c r="DY314" s="97"/>
      <c r="DZ314" s="97"/>
      <c r="EA314" s="97"/>
      <c r="EB314" s="97"/>
      <c r="EC314" s="97"/>
      <c r="ED314" s="97"/>
      <c r="EE314" s="97"/>
      <c r="EF314" s="97"/>
      <c r="EG314" s="97"/>
      <c r="EH314" s="97"/>
      <c r="EI314" s="97"/>
      <c r="EJ314" s="97"/>
      <c r="EK314" s="97"/>
      <c r="EL314" s="97"/>
      <c r="EM314" s="97"/>
      <c r="EN314" s="97"/>
      <c r="EO314" s="97"/>
      <c r="EP314" s="97"/>
      <c r="EQ314" s="97"/>
      <c r="ER314" s="97"/>
      <c r="ES314" s="97"/>
      <c r="ET314" s="97"/>
      <c r="EU314" s="97"/>
      <c r="EV314" s="97"/>
      <c r="EW314" s="97"/>
      <c r="EX314" s="97"/>
      <c r="EY314" s="97"/>
      <c r="EZ314" s="97"/>
      <c r="FA314" s="97"/>
      <c r="FB314" s="97"/>
      <c r="FC314" s="97"/>
      <c r="FD314" s="97"/>
      <c r="FE314" s="97"/>
      <c r="FF314" s="97"/>
      <c r="FG314" s="97"/>
      <c r="FH314" s="97"/>
      <c r="FI314" s="97"/>
      <c r="FJ314" s="97"/>
      <c r="FK314" s="97"/>
      <c r="FL314" s="97"/>
      <c r="FM314" s="97"/>
      <c r="FN314" s="97"/>
      <c r="FO314" s="97"/>
      <c r="FP314" s="97"/>
      <c r="FQ314" s="97"/>
      <c r="FR314" s="97"/>
      <c r="FS314" s="97"/>
      <c r="FT314" s="97"/>
      <c r="FU314" s="97"/>
    </row>
    <row r="315" spans="10:177" s="1" customFormat="1" ht="15.75">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7"/>
      <c r="CO315" s="97"/>
      <c r="CP315" s="97"/>
      <c r="CQ315" s="97"/>
      <c r="CR315" s="97"/>
      <c r="CS315" s="97"/>
      <c r="CT315" s="97"/>
      <c r="CU315" s="97"/>
      <c r="CV315" s="97"/>
      <c r="CW315" s="97"/>
      <c r="CX315" s="97"/>
      <c r="CY315" s="97"/>
      <c r="CZ315" s="97"/>
      <c r="DA315" s="97"/>
      <c r="DB315" s="97"/>
      <c r="DC315" s="97"/>
      <c r="DD315" s="97"/>
      <c r="DE315" s="97"/>
      <c r="DF315" s="97"/>
      <c r="DG315" s="97"/>
      <c r="DH315" s="97"/>
      <c r="DI315" s="97"/>
      <c r="DJ315" s="97"/>
      <c r="DK315" s="97"/>
      <c r="DL315" s="97"/>
      <c r="DM315" s="97"/>
      <c r="DN315" s="97"/>
      <c r="DO315" s="97"/>
      <c r="DP315" s="97"/>
      <c r="DQ315" s="97"/>
      <c r="DR315" s="97"/>
      <c r="DS315" s="97"/>
      <c r="DT315" s="97"/>
      <c r="DU315" s="97"/>
      <c r="DV315" s="97"/>
      <c r="DW315" s="97"/>
      <c r="DX315" s="97"/>
      <c r="DY315" s="97"/>
      <c r="DZ315" s="97"/>
      <c r="EA315" s="97"/>
      <c r="EB315" s="97"/>
      <c r="EC315" s="97"/>
      <c r="ED315" s="97"/>
      <c r="EE315" s="97"/>
      <c r="EF315" s="97"/>
      <c r="EG315" s="97"/>
      <c r="EH315" s="97"/>
      <c r="EI315" s="97"/>
      <c r="EJ315" s="97"/>
      <c r="EK315" s="97"/>
      <c r="EL315" s="97"/>
      <c r="EM315" s="97"/>
      <c r="EN315" s="97"/>
      <c r="EO315" s="97"/>
      <c r="EP315" s="97"/>
      <c r="EQ315" s="97"/>
      <c r="ER315" s="97"/>
      <c r="ES315" s="97"/>
      <c r="ET315" s="97"/>
      <c r="EU315" s="97"/>
      <c r="EV315" s="97"/>
      <c r="EW315" s="97"/>
      <c r="EX315" s="97"/>
      <c r="EY315" s="97"/>
      <c r="EZ315" s="97"/>
      <c r="FA315" s="97"/>
      <c r="FB315" s="97"/>
      <c r="FC315" s="97"/>
      <c r="FD315" s="97"/>
      <c r="FE315" s="97"/>
      <c r="FF315" s="97"/>
      <c r="FG315" s="97"/>
      <c r="FH315" s="97"/>
      <c r="FI315" s="97"/>
      <c r="FJ315" s="97"/>
      <c r="FK315" s="97"/>
      <c r="FL315" s="97"/>
      <c r="FM315" s="97"/>
      <c r="FN315" s="97"/>
      <c r="FO315" s="97"/>
      <c r="FP315" s="97"/>
      <c r="FQ315" s="97"/>
      <c r="FR315" s="97"/>
      <c r="FS315" s="97"/>
      <c r="FT315" s="97"/>
      <c r="FU315" s="97"/>
    </row>
    <row r="316" spans="10:177" s="1" customFormat="1" ht="15.75">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c r="CY316" s="97"/>
      <c r="CZ316" s="97"/>
      <c r="DA316" s="97"/>
      <c r="DB316" s="97"/>
      <c r="DC316" s="97"/>
      <c r="DD316" s="97"/>
      <c r="DE316" s="97"/>
      <c r="DF316" s="97"/>
      <c r="DG316" s="97"/>
      <c r="DH316" s="97"/>
      <c r="DI316" s="97"/>
      <c r="DJ316" s="97"/>
      <c r="DK316" s="97"/>
      <c r="DL316" s="97"/>
      <c r="DM316" s="97"/>
      <c r="DN316" s="97"/>
      <c r="DO316" s="97"/>
      <c r="DP316" s="97"/>
      <c r="DQ316" s="97"/>
      <c r="DR316" s="97"/>
      <c r="DS316" s="97"/>
      <c r="DT316" s="97"/>
      <c r="DU316" s="97"/>
      <c r="DV316" s="97"/>
      <c r="DW316" s="97"/>
      <c r="DX316" s="97"/>
      <c r="DY316" s="97"/>
      <c r="DZ316" s="97"/>
      <c r="EA316" s="97"/>
      <c r="EB316" s="97"/>
      <c r="EC316" s="97"/>
      <c r="ED316" s="97"/>
      <c r="EE316" s="97"/>
      <c r="EF316" s="97"/>
      <c r="EG316" s="97"/>
      <c r="EH316" s="97"/>
      <c r="EI316" s="97"/>
      <c r="EJ316" s="97"/>
      <c r="EK316" s="97"/>
      <c r="EL316" s="97"/>
      <c r="EM316" s="97"/>
      <c r="EN316" s="97"/>
      <c r="EO316" s="97"/>
      <c r="EP316" s="97"/>
      <c r="EQ316" s="97"/>
      <c r="ER316" s="97"/>
      <c r="ES316" s="97"/>
      <c r="ET316" s="97"/>
      <c r="EU316" s="97"/>
      <c r="EV316" s="97"/>
      <c r="EW316" s="97"/>
      <c r="EX316" s="97"/>
      <c r="EY316" s="97"/>
      <c r="EZ316" s="97"/>
      <c r="FA316" s="97"/>
      <c r="FB316" s="97"/>
      <c r="FC316" s="97"/>
      <c r="FD316" s="97"/>
      <c r="FE316" s="97"/>
      <c r="FF316" s="97"/>
      <c r="FG316" s="97"/>
      <c r="FH316" s="97"/>
      <c r="FI316" s="97"/>
      <c r="FJ316" s="97"/>
      <c r="FK316" s="97"/>
      <c r="FL316" s="97"/>
      <c r="FM316" s="97"/>
      <c r="FN316" s="97"/>
      <c r="FO316" s="97"/>
      <c r="FP316" s="97"/>
      <c r="FQ316" s="97"/>
      <c r="FR316" s="97"/>
      <c r="FS316" s="97"/>
      <c r="FT316" s="97"/>
      <c r="FU316" s="97"/>
    </row>
    <row r="317" spans="10:177" s="1" customFormat="1" ht="15.75">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c r="DW317" s="97"/>
      <c r="DX317" s="97"/>
      <c r="DY317" s="97"/>
      <c r="DZ317" s="97"/>
      <c r="EA317" s="97"/>
      <c r="EB317" s="97"/>
      <c r="EC317" s="97"/>
      <c r="ED317" s="97"/>
      <c r="EE317" s="97"/>
      <c r="EF317" s="97"/>
      <c r="EG317" s="97"/>
      <c r="EH317" s="97"/>
      <c r="EI317" s="97"/>
      <c r="EJ317" s="97"/>
      <c r="EK317" s="97"/>
      <c r="EL317" s="97"/>
      <c r="EM317" s="97"/>
      <c r="EN317" s="97"/>
      <c r="EO317" s="97"/>
      <c r="EP317" s="97"/>
      <c r="EQ317" s="97"/>
      <c r="ER317" s="97"/>
      <c r="ES317" s="97"/>
      <c r="ET317" s="97"/>
      <c r="EU317" s="97"/>
      <c r="EV317" s="97"/>
      <c r="EW317" s="97"/>
      <c r="EX317" s="97"/>
      <c r="EY317" s="97"/>
      <c r="EZ317" s="97"/>
      <c r="FA317" s="97"/>
      <c r="FB317" s="97"/>
      <c r="FC317" s="97"/>
      <c r="FD317" s="97"/>
      <c r="FE317" s="97"/>
      <c r="FF317" s="97"/>
      <c r="FG317" s="97"/>
      <c r="FH317" s="97"/>
      <c r="FI317" s="97"/>
      <c r="FJ317" s="97"/>
      <c r="FK317" s="97"/>
      <c r="FL317" s="97"/>
      <c r="FM317" s="97"/>
      <c r="FN317" s="97"/>
      <c r="FO317" s="97"/>
      <c r="FP317" s="97"/>
      <c r="FQ317" s="97"/>
      <c r="FR317" s="97"/>
      <c r="FS317" s="97"/>
      <c r="FT317" s="97"/>
      <c r="FU317" s="97"/>
    </row>
    <row r="318" spans="10:177" s="1" customFormat="1" ht="15.75">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7"/>
      <c r="CO318" s="97"/>
      <c r="CP318" s="97"/>
      <c r="CQ318" s="97"/>
      <c r="CR318" s="97"/>
      <c r="CS318" s="97"/>
      <c r="CT318" s="97"/>
      <c r="CU318" s="97"/>
      <c r="CV318" s="97"/>
      <c r="CW318" s="97"/>
      <c r="CX318" s="97"/>
      <c r="CY318" s="97"/>
      <c r="CZ318" s="97"/>
      <c r="DA318" s="97"/>
      <c r="DB318" s="97"/>
      <c r="DC318" s="97"/>
      <c r="DD318" s="97"/>
      <c r="DE318" s="97"/>
      <c r="DF318" s="97"/>
      <c r="DG318" s="97"/>
      <c r="DH318" s="97"/>
      <c r="DI318" s="97"/>
      <c r="DJ318" s="97"/>
      <c r="DK318" s="97"/>
      <c r="DL318" s="97"/>
      <c r="DM318" s="97"/>
      <c r="DN318" s="97"/>
      <c r="DO318" s="97"/>
      <c r="DP318" s="97"/>
      <c r="DQ318" s="97"/>
      <c r="DR318" s="97"/>
      <c r="DS318" s="97"/>
      <c r="DT318" s="97"/>
      <c r="DU318" s="97"/>
      <c r="DV318" s="97"/>
      <c r="DW318" s="97"/>
      <c r="DX318" s="97"/>
      <c r="DY318" s="97"/>
      <c r="DZ318" s="97"/>
      <c r="EA318" s="97"/>
      <c r="EB318" s="97"/>
      <c r="EC318" s="97"/>
      <c r="ED318" s="97"/>
      <c r="EE318" s="97"/>
      <c r="EF318" s="97"/>
      <c r="EG318" s="97"/>
      <c r="EH318" s="97"/>
      <c r="EI318" s="97"/>
      <c r="EJ318" s="97"/>
      <c r="EK318" s="97"/>
      <c r="EL318" s="97"/>
      <c r="EM318" s="97"/>
      <c r="EN318" s="97"/>
      <c r="EO318" s="97"/>
      <c r="EP318" s="97"/>
      <c r="EQ318" s="97"/>
      <c r="ER318" s="97"/>
      <c r="ES318" s="97"/>
      <c r="ET318" s="97"/>
      <c r="EU318" s="97"/>
      <c r="EV318" s="97"/>
      <c r="EW318" s="97"/>
      <c r="EX318" s="97"/>
      <c r="EY318" s="97"/>
      <c r="EZ318" s="97"/>
      <c r="FA318" s="97"/>
      <c r="FB318" s="97"/>
      <c r="FC318" s="97"/>
      <c r="FD318" s="97"/>
      <c r="FE318" s="97"/>
      <c r="FF318" s="97"/>
      <c r="FG318" s="97"/>
      <c r="FH318" s="97"/>
      <c r="FI318" s="97"/>
      <c r="FJ318" s="97"/>
      <c r="FK318" s="97"/>
      <c r="FL318" s="97"/>
      <c r="FM318" s="97"/>
      <c r="FN318" s="97"/>
      <c r="FO318" s="97"/>
      <c r="FP318" s="97"/>
      <c r="FQ318" s="97"/>
      <c r="FR318" s="97"/>
      <c r="FS318" s="97"/>
      <c r="FT318" s="97"/>
      <c r="FU318" s="97"/>
    </row>
    <row r="319" spans="10:177" s="1" customFormat="1" ht="15.75">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7"/>
      <c r="CO319" s="97"/>
      <c r="CP319" s="97"/>
      <c r="CQ319" s="97"/>
      <c r="CR319" s="97"/>
      <c r="CS319" s="97"/>
      <c r="CT319" s="97"/>
      <c r="CU319" s="97"/>
      <c r="CV319" s="97"/>
      <c r="CW319" s="97"/>
      <c r="CX319" s="97"/>
      <c r="CY319" s="97"/>
      <c r="CZ319" s="97"/>
      <c r="DA319" s="97"/>
      <c r="DB319" s="97"/>
      <c r="DC319" s="97"/>
      <c r="DD319" s="97"/>
      <c r="DE319" s="97"/>
      <c r="DF319" s="97"/>
      <c r="DG319" s="97"/>
      <c r="DH319" s="97"/>
      <c r="DI319" s="97"/>
      <c r="DJ319" s="97"/>
      <c r="DK319" s="97"/>
      <c r="DL319" s="97"/>
      <c r="DM319" s="97"/>
      <c r="DN319" s="97"/>
      <c r="DO319" s="97"/>
      <c r="DP319" s="97"/>
      <c r="DQ319" s="97"/>
      <c r="DR319" s="97"/>
      <c r="DS319" s="97"/>
      <c r="DT319" s="97"/>
      <c r="DU319" s="97"/>
      <c r="DV319" s="97"/>
      <c r="DW319" s="97"/>
      <c r="DX319" s="97"/>
      <c r="DY319" s="97"/>
      <c r="DZ319" s="97"/>
      <c r="EA319" s="97"/>
      <c r="EB319" s="97"/>
      <c r="EC319" s="97"/>
      <c r="ED319" s="97"/>
      <c r="EE319" s="97"/>
      <c r="EF319" s="97"/>
      <c r="EG319" s="97"/>
      <c r="EH319" s="97"/>
      <c r="EI319" s="97"/>
      <c r="EJ319" s="97"/>
      <c r="EK319" s="97"/>
      <c r="EL319" s="97"/>
      <c r="EM319" s="97"/>
      <c r="EN319" s="97"/>
      <c r="EO319" s="97"/>
      <c r="EP319" s="97"/>
      <c r="EQ319" s="97"/>
      <c r="ER319" s="97"/>
      <c r="ES319" s="97"/>
      <c r="ET319" s="97"/>
      <c r="EU319" s="97"/>
      <c r="EV319" s="97"/>
      <c r="EW319" s="97"/>
      <c r="EX319" s="97"/>
      <c r="EY319" s="97"/>
      <c r="EZ319" s="97"/>
      <c r="FA319" s="97"/>
      <c r="FB319" s="97"/>
      <c r="FC319" s="97"/>
      <c r="FD319" s="97"/>
      <c r="FE319" s="97"/>
      <c r="FF319" s="97"/>
      <c r="FG319" s="97"/>
      <c r="FH319" s="97"/>
      <c r="FI319" s="97"/>
      <c r="FJ319" s="97"/>
      <c r="FK319" s="97"/>
      <c r="FL319" s="97"/>
      <c r="FM319" s="97"/>
      <c r="FN319" s="97"/>
      <c r="FO319" s="97"/>
      <c r="FP319" s="97"/>
      <c r="FQ319" s="97"/>
      <c r="FR319" s="97"/>
      <c r="FS319" s="97"/>
      <c r="FT319" s="97"/>
      <c r="FU319" s="97"/>
    </row>
    <row r="320" spans="10:177" s="1" customFormat="1" ht="15.75">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c r="CX320" s="97"/>
      <c r="CY320" s="97"/>
      <c r="CZ320" s="97"/>
      <c r="DA320" s="97"/>
      <c r="DB320" s="97"/>
      <c r="DC320" s="97"/>
      <c r="DD320" s="97"/>
      <c r="DE320" s="97"/>
      <c r="DF320" s="97"/>
      <c r="DG320" s="97"/>
      <c r="DH320" s="97"/>
      <c r="DI320" s="97"/>
      <c r="DJ320" s="97"/>
      <c r="DK320" s="97"/>
      <c r="DL320" s="97"/>
      <c r="DM320" s="97"/>
      <c r="DN320" s="97"/>
      <c r="DO320" s="97"/>
      <c r="DP320" s="97"/>
      <c r="DQ320" s="97"/>
      <c r="DR320" s="97"/>
      <c r="DS320" s="97"/>
      <c r="DT320" s="97"/>
      <c r="DU320" s="97"/>
      <c r="DV320" s="97"/>
      <c r="DW320" s="97"/>
      <c r="DX320" s="97"/>
      <c r="DY320" s="97"/>
      <c r="DZ320" s="97"/>
      <c r="EA320" s="97"/>
      <c r="EB320" s="97"/>
      <c r="EC320" s="97"/>
      <c r="ED320" s="97"/>
      <c r="EE320" s="97"/>
      <c r="EF320" s="97"/>
      <c r="EG320" s="97"/>
      <c r="EH320" s="97"/>
      <c r="EI320" s="97"/>
      <c r="EJ320" s="97"/>
      <c r="EK320" s="97"/>
      <c r="EL320" s="97"/>
      <c r="EM320" s="97"/>
      <c r="EN320" s="97"/>
      <c r="EO320" s="97"/>
      <c r="EP320" s="97"/>
      <c r="EQ320" s="97"/>
      <c r="ER320" s="97"/>
      <c r="ES320" s="97"/>
      <c r="ET320" s="97"/>
      <c r="EU320" s="97"/>
      <c r="EV320" s="97"/>
      <c r="EW320" s="97"/>
      <c r="EX320" s="97"/>
      <c r="EY320" s="97"/>
      <c r="EZ320" s="97"/>
      <c r="FA320" s="97"/>
      <c r="FB320" s="97"/>
      <c r="FC320" s="97"/>
      <c r="FD320" s="97"/>
      <c r="FE320" s="97"/>
      <c r="FF320" s="97"/>
      <c r="FG320" s="97"/>
      <c r="FH320" s="97"/>
      <c r="FI320" s="97"/>
      <c r="FJ320" s="97"/>
      <c r="FK320" s="97"/>
      <c r="FL320" s="97"/>
      <c r="FM320" s="97"/>
      <c r="FN320" s="97"/>
      <c r="FO320" s="97"/>
      <c r="FP320" s="97"/>
      <c r="FQ320" s="97"/>
      <c r="FR320" s="97"/>
      <c r="FS320" s="97"/>
      <c r="FT320" s="97"/>
      <c r="FU320" s="97"/>
    </row>
  </sheetData>
  <sheetProtection/>
  <mergeCells count="6">
    <mergeCell ref="A1:I1"/>
    <mergeCell ref="A2:I2"/>
    <mergeCell ref="A3:I3"/>
    <mergeCell ref="A118:I118"/>
    <mergeCell ref="A117:I117"/>
    <mergeCell ref="A116:I116"/>
  </mergeCells>
  <printOptions/>
  <pageMargins left="1" right="1" top="1" bottom="1" header="0.5" footer="0.5"/>
  <pageSetup fitToHeight="1" fitToWidth="1" horizontalDpi="300" verticalDpi="300" orientation="landscape" paperSize="9" scale="15" r:id="rId1"/>
  <rowBreaks count="2" manualBreakCount="2">
    <brk id="114" max="38" man="1"/>
    <brk id="118" max="255" man="1"/>
  </rowBreaks>
  <colBreaks count="1" manualBreakCount="1">
    <brk id="3" max="153" man="1"/>
  </colBreaks>
</worksheet>
</file>

<file path=xl/worksheets/sheet20.xml><?xml version="1.0" encoding="utf-8"?>
<worksheet xmlns="http://schemas.openxmlformats.org/spreadsheetml/2006/main" xmlns:r="http://schemas.openxmlformats.org/officeDocument/2006/relationships">
  <dimension ref="B1:I34"/>
  <sheetViews>
    <sheetView zoomScalePageLayoutView="0" workbookViewId="0" topLeftCell="A1">
      <selection activeCell="F18" sqref="F18"/>
    </sheetView>
  </sheetViews>
  <sheetFormatPr defaultColWidth="9.140625" defaultRowHeight="12.75"/>
  <cols>
    <col min="1" max="1" width="6.421875" style="0" customWidth="1"/>
    <col min="2" max="2" width="37.57421875" style="0" customWidth="1"/>
    <col min="3" max="3" width="17.421875" style="0" customWidth="1"/>
    <col min="4" max="4" width="18.140625" style="0" customWidth="1"/>
    <col min="5" max="5" width="15.421875" style="0" customWidth="1"/>
    <col min="6" max="6" width="8.00390625" style="0" customWidth="1"/>
    <col min="7" max="7" width="20.00390625" style="0" customWidth="1"/>
    <col min="8" max="8" width="18.57421875" style="0" customWidth="1"/>
    <col min="9" max="9" width="18.421875" style="0" customWidth="1"/>
  </cols>
  <sheetData>
    <row r="1" spans="2:9" ht="18">
      <c r="B1" s="545"/>
      <c r="C1" s="545"/>
      <c r="D1" s="546"/>
      <c r="E1" s="546"/>
      <c r="F1" s="68"/>
      <c r="G1" s="545"/>
      <c r="H1" s="545"/>
      <c r="I1" s="547"/>
    </row>
    <row r="2" spans="2:9" ht="15">
      <c r="B2" s="548"/>
      <c r="C2" s="549"/>
      <c r="D2" s="532"/>
      <c r="E2" s="550"/>
      <c r="F2" s="68"/>
      <c r="G2" s="548"/>
      <c r="H2" s="549"/>
      <c r="I2" s="549"/>
    </row>
    <row r="3" spans="2:9" ht="15">
      <c r="B3" s="548"/>
      <c r="C3" s="549"/>
      <c r="D3" s="532"/>
      <c r="E3" s="551"/>
      <c r="F3" s="68"/>
      <c r="G3" s="548"/>
      <c r="H3" s="549"/>
      <c r="I3" s="549"/>
    </row>
    <row r="4" spans="2:9" ht="15">
      <c r="B4" s="548"/>
      <c r="C4" s="549"/>
      <c r="D4" s="532"/>
      <c r="E4" s="550"/>
      <c r="F4" s="68"/>
      <c r="G4" s="548"/>
      <c r="H4" s="549"/>
      <c r="I4" s="549"/>
    </row>
    <row r="5" spans="2:9" ht="15">
      <c r="B5" s="548"/>
      <c r="C5" s="532"/>
      <c r="D5" s="532"/>
      <c r="E5" s="551"/>
      <c r="F5" s="68"/>
      <c r="G5" s="548"/>
      <c r="H5" s="549"/>
      <c r="I5" s="549"/>
    </row>
    <row r="6" spans="2:9" ht="15">
      <c r="B6" s="548"/>
      <c r="C6" s="549"/>
      <c r="D6" s="532"/>
      <c r="E6" s="550"/>
      <c r="F6" s="68"/>
      <c r="G6" s="548"/>
      <c r="H6" s="549"/>
      <c r="I6" s="549"/>
    </row>
    <row r="7" spans="2:9" ht="15">
      <c r="B7" s="548"/>
      <c r="C7" s="549"/>
      <c r="D7" s="532"/>
      <c r="E7" s="550"/>
      <c r="F7" s="68"/>
      <c r="G7" s="548"/>
      <c r="H7" s="549"/>
      <c r="I7" s="549"/>
    </row>
    <row r="8" spans="2:9" ht="15">
      <c r="B8" s="548"/>
      <c r="C8" s="549"/>
      <c r="D8" s="532"/>
      <c r="E8" s="550"/>
      <c r="F8" s="68"/>
      <c r="G8" s="548"/>
      <c r="H8" s="549"/>
      <c r="I8" s="549"/>
    </row>
    <row r="9" spans="2:9" ht="15">
      <c r="B9" s="548"/>
      <c r="C9" s="549"/>
      <c r="D9" s="532"/>
      <c r="E9" s="550"/>
      <c r="F9" s="68"/>
      <c r="G9" s="548"/>
      <c r="H9" s="549"/>
      <c r="I9" s="549"/>
    </row>
    <row r="10" spans="2:9" ht="15">
      <c r="B10" s="548"/>
      <c r="C10" s="549"/>
      <c r="D10" s="532"/>
      <c r="E10" s="550"/>
      <c r="F10" s="68"/>
      <c r="G10" s="548"/>
      <c r="H10" s="549"/>
      <c r="I10" s="549"/>
    </row>
    <row r="11" spans="2:9" ht="15">
      <c r="B11" s="548"/>
      <c r="C11" s="549"/>
      <c r="D11" s="532"/>
      <c r="E11" s="552"/>
      <c r="F11" s="68"/>
      <c r="G11" s="548"/>
      <c r="H11" s="549"/>
      <c r="I11" s="549"/>
    </row>
    <row r="12" spans="2:9" ht="15">
      <c r="B12" s="548"/>
      <c r="C12" s="553"/>
      <c r="D12" s="532"/>
      <c r="E12" s="551"/>
      <c r="F12" s="68"/>
      <c r="G12" s="548"/>
      <c r="H12" s="553"/>
      <c r="I12" s="532"/>
    </row>
    <row r="13" spans="2:9" ht="18">
      <c r="B13" s="530"/>
      <c r="C13" s="554"/>
      <c r="D13" s="555"/>
      <c r="E13" s="68"/>
      <c r="F13" s="68"/>
      <c r="G13" s="530"/>
      <c r="H13" s="556"/>
      <c r="I13" s="557"/>
    </row>
    <row r="14" spans="2:9" ht="15.75">
      <c r="B14" s="530"/>
      <c r="C14" s="532"/>
      <c r="D14" s="558"/>
      <c r="E14" s="68"/>
      <c r="F14" s="68"/>
      <c r="G14" s="68"/>
      <c r="H14" s="559"/>
      <c r="I14" s="560"/>
    </row>
    <row r="15" spans="2:9" ht="15">
      <c r="B15" s="530"/>
      <c r="C15" s="532"/>
      <c r="D15" s="531"/>
      <c r="E15" s="561"/>
      <c r="F15" s="68"/>
      <c r="G15" s="68"/>
      <c r="H15" s="68"/>
      <c r="I15" s="68"/>
    </row>
    <row r="16" spans="2:9" ht="15">
      <c r="B16" s="530"/>
      <c r="C16" s="532"/>
      <c r="D16" s="531"/>
      <c r="E16" s="68"/>
      <c r="F16" s="68"/>
      <c r="G16" s="68"/>
      <c r="H16" s="68"/>
      <c r="I16" s="68"/>
    </row>
    <row r="17" spans="2:9" ht="15">
      <c r="B17" s="530"/>
      <c r="C17" s="532"/>
      <c r="D17" s="531"/>
      <c r="E17" s="68"/>
      <c r="F17" s="68"/>
      <c r="G17" s="68"/>
      <c r="H17" s="68"/>
      <c r="I17" s="68"/>
    </row>
    <row r="18" spans="2:9" ht="15">
      <c r="B18" s="530"/>
      <c r="C18" s="532"/>
      <c r="D18" s="531"/>
      <c r="E18" s="68"/>
      <c r="F18" s="68"/>
      <c r="G18" s="68"/>
      <c r="H18" s="68"/>
      <c r="I18" s="68"/>
    </row>
    <row r="19" spans="2:9" ht="15">
      <c r="B19" s="530"/>
      <c r="C19" s="532"/>
      <c r="D19" s="531"/>
      <c r="E19" s="68"/>
      <c r="F19" s="68"/>
      <c r="G19" s="68"/>
      <c r="H19" s="68"/>
      <c r="I19" s="68"/>
    </row>
    <row r="20" spans="2:9" ht="12.75">
      <c r="B20" s="68"/>
      <c r="C20" s="68"/>
      <c r="D20" s="68"/>
      <c r="E20" s="68"/>
      <c r="F20" s="68"/>
      <c r="G20" s="68"/>
      <c r="H20" s="68"/>
      <c r="I20" s="68"/>
    </row>
    <row r="21" spans="2:9" ht="15.75">
      <c r="B21" s="545"/>
      <c r="C21" s="562"/>
      <c r="D21" s="562"/>
      <c r="E21" s="563"/>
      <c r="F21" s="68"/>
      <c r="G21" s="68"/>
      <c r="H21" s="68"/>
      <c r="I21" s="68"/>
    </row>
    <row r="22" spans="2:9" ht="15">
      <c r="B22" s="548"/>
      <c r="C22" s="550"/>
      <c r="D22" s="550"/>
      <c r="E22" s="550"/>
      <c r="F22" s="68"/>
      <c r="G22" s="68"/>
      <c r="H22" s="68"/>
      <c r="I22" s="68"/>
    </row>
    <row r="23" spans="2:9" ht="15">
      <c r="B23" s="548"/>
      <c r="C23" s="550"/>
      <c r="D23" s="550"/>
      <c r="E23" s="550"/>
      <c r="F23" s="68"/>
      <c r="G23" s="68"/>
      <c r="H23" s="68"/>
      <c r="I23" s="68"/>
    </row>
    <row r="24" spans="2:9" ht="15">
      <c r="B24" s="548"/>
      <c r="C24" s="550"/>
      <c r="D24" s="550"/>
      <c r="E24" s="550"/>
      <c r="F24" s="68"/>
      <c r="G24" s="68"/>
      <c r="H24" s="68"/>
      <c r="I24" s="68"/>
    </row>
    <row r="25" spans="2:9" ht="15">
      <c r="B25" s="548"/>
      <c r="C25" s="550"/>
      <c r="D25" s="550"/>
      <c r="E25" s="550"/>
      <c r="F25" s="68"/>
      <c r="G25" s="68"/>
      <c r="H25" s="68"/>
      <c r="I25" s="68"/>
    </row>
    <row r="26" spans="2:9" ht="15">
      <c r="B26" s="548"/>
      <c r="C26" s="550"/>
      <c r="D26" s="550"/>
      <c r="E26" s="550"/>
      <c r="F26" s="68"/>
      <c r="G26" s="68"/>
      <c r="H26" s="68"/>
      <c r="I26" s="68"/>
    </row>
    <row r="27" spans="2:9" ht="15">
      <c r="B27" s="548"/>
      <c r="C27" s="550"/>
      <c r="D27" s="550"/>
      <c r="E27" s="550"/>
      <c r="F27" s="68"/>
      <c r="G27" s="68"/>
      <c r="H27" s="68"/>
      <c r="I27" s="68"/>
    </row>
    <row r="28" spans="2:9" ht="15">
      <c r="B28" s="548"/>
      <c r="C28" s="550"/>
      <c r="D28" s="550"/>
      <c r="E28" s="550"/>
      <c r="F28" s="68"/>
      <c r="G28" s="68"/>
      <c r="H28" s="68"/>
      <c r="I28" s="68"/>
    </row>
    <row r="29" spans="2:9" ht="15">
      <c r="B29" s="548"/>
      <c r="C29" s="550"/>
      <c r="D29" s="550"/>
      <c r="E29" s="550"/>
      <c r="F29" s="68"/>
      <c r="G29" s="68"/>
      <c r="H29" s="68"/>
      <c r="I29" s="68"/>
    </row>
    <row r="30" spans="2:9" ht="15">
      <c r="B30" s="548"/>
      <c r="C30" s="550"/>
      <c r="D30" s="550"/>
      <c r="E30" s="550"/>
      <c r="F30" s="68"/>
      <c r="G30" s="68"/>
      <c r="H30" s="68"/>
      <c r="I30" s="68"/>
    </row>
    <row r="31" spans="2:9" ht="15">
      <c r="B31" s="548"/>
      <c r="C31" s="550"/>
      <c r="D31" s="550"/>
      <c r="E31" s="564"/>
      <c r="F31" s="565"/>
      <c r="G31" s="68"/>
      <c r="H31" s="68"/>
      <c r="I31" s="68"/>
    </row>
    <row r="32" spans="2:9" ht="15.75">
      <c r="B32" s="552"/>
      <c r="C32" s="566"/>
      <c r="D32" s="567"/>
      <c r="E32" s="68"/>
      <c r="F32" s="68"/>
      <c r="G32" s="68"/>
      <c r="H32" s="68"/>
      <c r="I32" s="68"/>
    </row>
    <row r="33" spans="2:9" ht="18">
      <c r="B33" s="68"/>
      <c r="C33" s="568"/>
      <c r="D33" s="569"/>
      <c r="E33" s="68"/>
      <c r="F33" s="68"/>
      <c r="G33" s="68"/>
      <c r="H33" s="68"/>
      <c r="I33" s="68"/>
    </row>
    <row r="34" spans="2:9" ht="12.75">
      <c r="B34" s="68"/>
      <c r="C34" s="68"/>
      <c r="D34" s="68"/>
      <c r="E34" s="68"/>
      <c r="F34" s="68"/>
      <c r="G34" s="68"/>
      <c r="H34" s="68"/>
      <c r="I34" s="68"/>
    </row>
  </sheetData>
  <sheetProtection/>
  <printOptions/>
  <pageMargins left="0.511811024" right="0.511811024" top="0.787401575" bottom="0.787401575" header="0.31496062" footer="0.3149606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B9" sqref="B9"/>
    </sheetView>
  </sheetViews>
  <sheetFormatPr defaultColWidth="9.140625" defaultRowHeight="12.75"/>
  <cols>
    <col min="1" max="1" width="50.140625" style="0" customWidth="1"/>
    <col min="2" max="2" width="16.140625" style="0" customWidth="1"/>
    <col min="3" max="3" width="16.28125" style="0" customWidth="1"/>
    <col min="4" max="4" width="15.28125" style="0" customWidth="1"/>
  </cols>
  <sheetData>
    <row r="1" spans="1:4" ht="12.75">
      <c r="A1" s="587" t="str">
        <f>Parâmetros!A7</f>
        <v>Município de Barra do Quaraí</v>
      </c>
      <c r="B1" s="588"/>
      <c r="C1" s="588"/>
      <c r="D1" s="588"/>
    </row>
    <row r="2" spans="1:4" ht="12.75">
      <c r="A2" s="589" t="str">
        <f>Parâmetros!A8</f>
        <v>LEI DE DIRETRIZES ORÇAMENTÁRIAS  PARA 2023</v>
      </c>
      <c r="B2" s="588"/>
      <c r="C2" s="588"/>
      <c r="D2" s="588"/>
    </row>
    <row r="3" spans="1:4" ht="12.75">
      <c r="A3" s="590" t="s">
        <v>608</v>
      </c>
      <c r="B3" s="591"/>
      <c r="C3" s="591"/>
      <c r="D3" s="591"/>
    </row>
    <row r="4" spans="1:4" ht="12.75">
      <c r="A4" s="592" t="s">
        <v>721</v>
      </c>
      <c r="B4" s="593"/>
      <c r="C4" s="593"/>
      <c r="D4" s="593"/>
    </row>
    <row r="5" spans="1:4" ht="12.75">
      <c r="A5" s="111" t="s">
        <v>56</v>
      </c>
      <c r="B5" s="112">
        <f>Parâmetros!$E$10</f>
        <v>2023</v>
      </c>
      <c r="C5" s="112">
        <f>B5+1</f>
        <v>2024</v>
      </c>
      <c r="D5" s="112">
        <f>C5+1</f>
        <v>2025</v>
      </c>
    </row>
    <row r="6" spans="1:4" ht="12.75">
      <c r="A6" s="113" t="s">
        <v>385</v>
      </c>
      <c r="B6" s="114">
        <f>Projeções!G8</f>
        <v>36129887.03762718</v>
      </c>
      <c r="C6" s="114">
        <f>Projeções!H8</f>
        <v>36902366.55565303</v>
      </c>
      <c r="D6" s="114">
        <f>Projeções!I8</f>
        <v>37793416.79182998</v>
      </c>
    </row>
    <row r="7" spans="1:4" ht="12.75">
      <c r="A7" s="115" t="s">
        <v>381</v>
      </c>
      <c r="B7" s="116">
        <f>B11</f>
        <v>5233918.184661269</v>
      </c>
      <c r="C7" s="116">
        <f>C11</f>
        <v>5411085.507604551</v>
      </c>
      <c r="D7" s="116">
        <f>D11</f>
        <v>5539995.24721761</v>
      </c>
    </row>
    <row r="8" spans="1:4" ht="12.75">
      <c r="A8" s="117" t="s">
        <v>382</v>
      </c>
      <c r="B8" s="118">
        <f>Projeções!G17</f>
        <v>0</v>
      </c>
      <c r="C8" s="118">
        <f>Projeções!H17</f>
        <v>0</v>
      </c>
      <c r="D8" s="118">
        <f>Projeções!I17</f>
        <v>0</v>
      </c>
    </row>
    <row r="9" spans="1:4" ht="12.75">
      <c r="A9" s="119" t="s">
        <v>383</v>
      </c>
      <c r="B9" s="118">
        <f>Projeções!G75</f>
        <v>0</v>
      </c>
      <c r="C9" s="118">
        <f>Projeções!H75</f>
        <v>0</v>
      </c>
      <c r="D9" s="118">
        <f>Projeções!I75</f>
        <v>0</v>
      </c>
    </row>
    <row r="10" spans="1:4" ht="12.75">
      <c r="A10" s="119" t="s">
        <v>394</v>
      </c>
      <c r="B10" s="118">
        <f>Projeções!G28</f>
        <v>0</v>
      </c>
      <c r="C10" s="118">
        <f>Projeções!H28</f>
        <v>0</v>
      </c>
      <c r="D10" s="118">
        <f>Projeções!I28</f>
        <v>0</v>
      </c>
    </row>
    <row r="11" spans="1:4" ht="12.75">
      <c r="A11" s="117" t="s">
        <v>391</v>
      </c>
      <c r="B11" s="118">
        <f>-(Projeções!G109+Projeções!G110+Projeções!G111)</f>
        <v>5233918.184661269</v>
      </c>
      <c r="C11" s="118">
        <f>-(Projeções!H109+Projeções!H110+Projeções!H111)</f>
        <v>5411085.507604551</v>
      </c>
      <c r="D11" s="118">
        <f>-(Projeções!I109+Projeções!I110+Projeções!I111)</f>
        <v>5539995.24721761</v>
      </c>
    </row>
    <row r="12" spans="1:4" ht="12.75">
      <c r="A12" s="115" t="s">
        <v>384</v>
      </c>
      <c r="B12" s="116">
        <f>-(IF(Projeções!G66+Projeções!G110&gt;0,0,Projeções!G66+Projeções!G110))</f>
        <v>0</v>
      </c>
      <c r="C12" s="116">
        <f>-(IF(Projeções!H66+Projeções!H110&gt;0,0,Projeções!H66+Projeções!H110))</f>
        <v>0</v>
      </c>
      <c r="D12" s="116">
        <f>-(IF(Projeções!I66+Projeções!I110&gt;0,0,Projeções!I66+Projeções!I110))</f>
        <v>0</v>
      </c>
    </row>
    <row r="13" spans="1:4" ht="12.75">
      <c r="A13" s="378" t="s">
        <v>609</v>
      </c>
      <c r="B13" s="114">
        <f>B6-B7+B12</f>
        <v>30895968.852965914</v>
      </c>
      <c r="C13" s="114">
        <f>C6-C7+C12</f>
        <v>31491281.048048478</v>
      </c>
      <c r="D13" s="114">
        <f>D6-D7+D12</f>
        <v>32253421.54461237</v>
      </c>
    </row>
    <row r="15" ht="12.75">
      <c r="A15" s="127"/>
    </row>
    <row r="21" ht="12.75">
      <c r="A21" s="377"/>
    </row>
  </sheetData>
  <sheetProtection/>
  <mergeCells count="4">
    <mergeCell ref="A1:D1"/>
    <mergeCell ref="A2:D2"/>
    <mergeCell ref="A3:D3"/>
    <mergeCell ref="A4:D4"/>
  </mergeCells>
  <printOptions/>
  <pageMargins left="0.511811024" right="0.511811024" top="0.787401575" bottom="0.787401575" header="0.31496062" footer="0.31496062"/>
  <pageSetup fitToHeight="1" fitToWidth="1"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D41"/>
  <sheetViews>
    <sheetView zoomScaleSheetLayoutView="100" zoomScalePageLayoutView="0" workbookViewId="0" topLeftCell="A1">
      <selection activeCell="B5" sqref="B5:D5"/>
    </sheetView>
  </sheetViews>
  <sheetFormatPr defaultColWidth="9.140625" defaultRowHeight="12.75"/>
  <cols>
    <col min="1" max="1" width="71.28125" style="0" customWidth="1"/>
    <col min="2" max="2" width="19.140625" style="0" customWidth="1"/>
    <col min="3" max="3" width="17.7109375" style="0" customWidth="1"/>
    <col min="4" max="4" width="23.00390625" style="0" customWidth="1"/>
  </cols>
  <sheetData>
    <row r="1" spans="1:4" ht="12.75">
      <c r="A1" s="597" t="str">
        <f>Parâmetros!A7</f>
        <v>Município de Barra do Quaraí</v>
      </c>
      <c r="B1" s="598"/>
      <c r="C1" s="598"/>
      <c r="D1" s="598"/>
    </row>
    <row r="2" spans="1:4" ht="12.75">
      <c r="A2" s="599" t="s">
        <v>722</v>
      </c>
      <c r="B2" s="599"/>
      <c r="C2" s="599"/>
      <c r="D2" s="599"/>
    </row>
    <row r="3" spans="1:4" ht="13.5">
      <c r="A3" s="600" t="s">
        <v>610</v>
      </c>
      <c r="B3" s="601"/>
      <c r="C3" s="601"/>
      <c r="D3" s="601"/>
    </row>
    <row r="4" spans="1:4" ht="15">
      <c r="A4" s="121"/>
      <c r="B4" s="120"/>
      <c r="C4" s="120"/>
      <c r="D4" s="120"/>
    </row>
    <row r="5" spans="1:4" ht="12.75">
      <c r="A5" s="594" t="s">
        <v>444</v>
      </c>
      <c r="B5" s="596"/>
      <c r="C5" s="596"/>
      <c r="D5" s="596"/>
    </row>
    <row r="6" spans="1:4" ht="12.75">
      <c r="A6" s="595"/>
      <c r="B6" s="122">
        <f>Parâmetros!E10</f>
        <v>2023</v>
      </c>
      <c r="C6" s="122">
        <f>Parâmetros!F10</f>
        <v>2024</v>
      </c>
      <c r="D6" s="379">
        <f>Parâmetros!G10</f>
        <v>2025</v>
      </c>
    </row>
    <row r="7" spans="1:4" ht="12.75">
      <c r="A7" s="123" t="s">
        <v>441</v>
      </c>
      <c r="B7" s="380">
        <f>RCL!B13*0.54</f>
        <v>16683823.180601595</v>
      </c>
      <c r="C7" s="380">
        <f>RCL!C13*0.54</f>
        <v>17005291.76594618</v>
      </c>
      <c r="D7" s="380">
        <f>RCL!D13*0.54</f>
        <v>17416847.63409068</v>
      </c>
    </row>
    <row r="8" spans="1:4" ht="12.75">
      <c r="A8" s="124" t="s">
        <v>442</v>
      </c>
      <c r="B8" s="380">
        <f>RCL!B13*0.513</f>
        <v>15849632.021571513</v>
      </c>
      <c r="C8" s="380">
        <f>RCL!C13*0.513</f>
        <v>16155027.17764887</v>
      </c>
      <c r="D8" s="380">
        <f>RCL!D13*0.513</f>
        <v>16546005.252386147</v>
      </c>
    </row>
    <row r="9" spans="1:4" ht="12.75">
      <c r="A9" s="123" t="s">
        <v>443</v>
      </c>
      <c r="B9" s="380">
        <f>RCL!B13*0.486</f>
        <v>15015440.862541433</v>
      </c>
      <c r="C9" s="380">
        <f>RCL!C13*0.486</f>
        <v>15304762.589351559</v>
      </c>
      <c r="D9" s="380">
        <f>RCL!D13*0.486</f>
        <v>15675162.870681612</v>
      </c>
    </row>
    <row r="10" spans="1:4" ht="12.75">
      <c r="A10" s="602"/>
      <c r="B10" s="602"/>
      <c r="C10" s="602"/>
      <c r="D10" s="602"/>
    </row>
    <row r="11" spans="1:4" ht="12.75">
      <c r="A11" s="125"/>
      <c r="B11" s="126"/>
      <c r="C11" s="126"/>
      <c r="D11" s="126"/>
    </row>
    <row r="12" spans="1:4" ht="12.75">
      <c r="A12" s="594" t="s">
        <v>445</v>
      </c>
      <c r="B12" s="596"/>
      <c r="C12" s="596"/>
      <c r="D12" s="596"/>
    </row>
    <row r="13" spans="1:4" ht="12.75">
      <c r="A13" s="595"/>
      <c r="B13" s="122">
        <f>Parâmetros!E10</f>
        <v>2023</v>
      </c>
      <c r="C13" s="122">
        <f>Parâmetros!F10</f>
        <v>2024</v>
      </c>
      <c r="D13" s="122">
        <f>Parâmetros!G10</f>
        <v>2025</v>
      </c>
    </row>
    <row r="14" spans="1:4" ht="12.75">
      <c r="A14" s="128" t="s">
        <v>446</v>
      </c>
      <c r="B14" s="380">
        <f>RCL!B13*0.06</f>
        <v>1853758.1311779548</v>
      </c>
      <c r="C14" s="380">
        <f>RCL!C13*0.06</f>
        <v>1889476.8628829087</v>
      </c>
      <c r="D14" s="380">
        <f>RCL!D13*0.06</f>
        <v>1935205.2926767422</v>
      </c>
    </row>
    <row r="15" spans="1:4" ht="12.75">
      <c r="A15" s="129" t="s">
        <v>447</v>
      </c>
      <c r="B15" s="380">
        <f>RCL!B13*0.057</f>
        <v>1761070.224619057</v>
      </c>
      <c r="C15" s="380">
        <f>RCL!C13*0.057</f>
        <v>1795003.0197387633</v>
      </c>
      <c r="D15" s="380">
        <f>RCL!D13*0.057</f>
        <v>1838445.0280429053</v>
      </c>
    </row>
    <row r="16" spans="1:4" ht="12.75">
      <c r="A16" s="130" t="s">
        <v>448</v>
      </c>
      <c r="B16" s="380">
        <f>RCL!B13*0.054</f>
        <v>1668382.3180601592</v>
      </c>
      <c r="C16" s="380">
        <f>RCL!C13*0.054</f>
        <v>1700529.1765946178</v>
      </c>
      <c r="D16" s="380"/>
    </row>
    <row r="19" spans="1:4" ht="12.75">
      <c r="A19" s="131"/>
      <c r="B19" s="137"/>
      <c r="C19" s="137"/>
      <c r="D19" s="137"/>
    </row>
    <row r="20" spans="1:4" ht="12.75">
      <c r="A20" s="137"/>
      <c r="B20" s="137"/>
      <c r="C20" s="137"/>
      <c r="D20" s="137"/>
    </row>
    <row r="21" spans="1:4" ht="12.75">
      <c r="A21" s="137"/>
      <c r="B21" s="137"/>
      <c r="C21" s="137"/>
      <c r="D21" s="137"/>
    </row>
    <row r="22" spans="1:4" ht="12.75">
      <c r="A22" s="137"/>
      <c r="B22" s="137"/>
      <c r="C22" s="137"/>
      <c r="D22" s="137"/>
    </row>
    <row r="23" spans="1:4" ht="12.75">
      <c r="A23" s="137"/>
      <c r="B23" s="137"/>
      <c r="C23" s="137"/>
      <c r="D23" s="137"/>
    </row>
    <row r="24" spans="1:4" ht="12.75">
      <c r="A24" s="137"/>
      <c r="B24" s="137"/>
      <c r="C24" s="137"/>
      <c r="D24" s="137"/>
    </row>
    <row r="25" spans="1:4" ht="12.75">
      <c r="A25" s="137"/>
      <c r="B25" s="137"/>
      <c r="C25" s="137"/>
      <c r="D25" s="137"/>
    </row>
    <row r="26" spans="1:4" ht="12.75">
      <c r="A26" s="137"/>
      <c r="B26" s="137"/>
      <c r="C26" s="137"/>
      <c r="D26" s="137"/>
    </row>
    <row r="27" spans="1:4" ht="12.75">
      <c r="A27" s="137"/>
      <c r="B27" s="137"/>
      <c r="C27" s="137"/>
      <c r="D27" s="137"/>
    </row>
    <row r="28" spans="1:4" ht="12.75">
      <c r="A28" s="137"/>
      <c r="B28" s="137"/>
      <c r="C28" s="137"/>
      <c r="D28" s="137"/>
    </row>
    <row r="29" spans="1:4" ht="12.75">
      <c r="A29" s="137"/>
      <c r="B29" s="137"/>
      <c r="C29" s="137"/>
      <c r="D29" s="137"/>
    </row>
    <row r="30" spans="1:4" ht="12.75">
      <c r="A30" s="137"/>
      <c r="B30" s="137"/>
      <c r="C30" s="137"/>
      <c r="D30" s="137"/>
    </row>
    <row r="31" spans="1:4" ht="12.75">
      <c r="A31" s="137"/>
      <c r="B31" s="137"/>
      <c r="C31" s="137"/>
      <c r="D31" s="137"/>
    </row>
    <row r="32" spans="1:4" ht="12.75">
      <c r="A32" s="137"/>
      <c r="B32" s="137"/>
      <c r="C32" s="137"/>
      <c r="D32" s="137"/>
    </row>
    <row r="33" spans="1:4" ht="12.75">
      <c r="A33" s="137"/>
      <c r="B33" s="137"/>
      <c r="C33" s="137"/>
      <c r="D33" s="137"/>
    </row>
    <row r="34" spans="1:4" ht="0.75" customHeight="1">
      <c r="A34" s="137"/>
      <c r="B34" s="137"/>
      <c r="C34" s="137"/>
      <c r="D34" s="137"/>
    </row>
    <row r="35" spans="1:4" ht="12.75" customHeight="1" hidden="1">
      <c r="A35" s="137"/>
      <c r="B35" s="137"/>
      <c r="C35" s="137"/>
      <c r="D35" s="137"/>
    </row>
    <row r="36" spans="1:4" ht="12.75" customHeight="1" hidden="1">
      <c r="A36" s="137"/>
      <c r="B36" s="137"/>
      <c r="C36" s="137"/>
      <c r="D36" s="137"/>
    </row>
    <row r="37" spans="1:4" ht="12.75" customHeight="1" hidden="1">
      <c r="A37" s="137"/>
      <c r="B37" s="137"/>
      <c r="C37" s="137"/>
      <c r="D37" s="137"/>
    </row>
    <row r="38" spans="1:4" ht="12.75" customHeight="1" hidden="1">
      <c r="A38" s="137"/>
      <c r="B38" s="137"/>
      <c r="C38" s="137"/>
      <c r="D38" s="137"/>
    </row>
    <row r="39" spans="1:4" ht="12.75" customHeight="1" hidden="1">
      <c r="A39" s="137"/>
      <c r="B39" s="137"/>
      <c r="C39" s="137"/>
      <c r="D39" s="137"/>
    </row>
    <row r="40" spans="1:4" ht="12.75" customHeight="1" hidden="1">
      <c r="A40" s="137"/>
      <c r="B40" s="137"/>
      <c r="C40" s="137"/>
      <c r="D40" s="137"/>
    </row>
    <row r="41" spans="1:4" ht="12.75" customHeight="1" hidden="1">
      <c r="A41" s="137"/>
      <c r="B41" s="137"/>
      <c r="C41" s="137"/>
      <c r="D41" s="137"/>
    </row>
  </sheetData>
  <sheetProtection/>
  <mergeCells count="8">
    <mergeCell ref="A12:A13"/>
    <mergeCell ref="B12:D12"/>
    <mergeCell ref="A1:D1"/>
    <mergeCell ref="A2:D2"/>
    <mergeCell ref="A3:D3"/>
    <mergeCell ref="A5:A6"/>
    <mergeCell ref="B5:D5"/>
    <mergeCell ref="A10:D10"/>
  </mergeCells>
  <printOptions/>
  <pageMargins left="0.511811024" right="0.511811024" top="0.787401575" bottom="0.787401575" header="0.31496062" footer="0.31496062"/>
  <pageSetup horizontalDpi="600" verticalDpi="600" orientation="portrait" paperSize="9" scale="70"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dimension ref="A1:J44"/>
  <sheetViews>
    <sheetView showGridLines="0" zoomScale="90" zoomScaleNormal="90" zoomScalePageLayoutView="0" workbookViewId="0" topLeftCell="A1">
      <selection activeCell="K13" sqref="K13"/>
    </sheetView>
  </sheetViews>
  <sheetFormatPr defaultColWidth="32.00390625" defaultRowHeight="12.75"/>
  <cols>
    <col min="1" max="1" width="48.421875" style="31" customWidth="1"/>
    <col min="2" max="2" width="15.57421875" style="32" customWidth="1"/>
    <col min="3" max="3" width="16.57421875" style="37" customWidth="1"/>
    <col min="4" max="4" width="16.7109375" style="31" customWidth="1"/>
    <col min="5" max="5" width="16.28125" style="31" customWidth="1"/>
    <col min="6" max="6" width="16.140625" style="31" customWidth="1"/>
    <col min="7" max="7" width="17.00390625" style="31" customWidth="1"/>
    <col min="8" max="18" width="13.7109375" style="31" customWidth="1"/>
    <col min="19" max="16384" width="32.00390625" style="31" customWidth="1"/>
  </cols>
  <sheetData>
    <row r="1" spans="1:10" ht="12">
      <c r="A1" s="607" t="str">
        <f>Parâmetros!A7</f>
        <v>Município de Barra do Quaraí</v>
      </c>
      <c r="B1" s="608"/>
      <c r="C1" s="608"/>
      <c r="D1" s="608"/>
      <c r="E1" s="608"/>
      <c r="F1" s="608"/>
      <c r="G1" s="608"/>
      <c r="H1" s="608"/>
      <c r="I1" s="608"/>
      <c r="J1" s="609"/>
    </row>
    <row r="2" spans="1:10" ht="12">
      <c r="A2" s="610" t="s">
        <v>717</v>
      </c>
      <c r="B2" s="608"/>
      <c r="C2" s="608"/>
      <c r="D2" s="608"/>
      <c r="E2" s="608"/>
      <c r="F2" s="608"/>
      <c r="G2" s="608"/>
      <c r="H2" s="608"/>
      <c r="I2" s="608"/>
      <c r="J2" s="609"/>
    </row>
    <row r="3" spans="1:10" ht="12">
      <c r="A3" s="610" t="s">
        <v>590</v>
      </c>
      <c r="B3" s="608"/>
      <c r="C3" s="608"/>
      <c r="D3" s="608"/>
      <c r="E3" s="608"/>
      <c r="F3" s="608"/>
      <c r="G3" s="608"/>
      <c r="H3" s="608"/>
      <c r="I3" s="608"/>
      <c r="J3" s="609"/>
    </row>
    <row r="4" spans="1:3" ht="12">
      <c r="A4" s="33"/>
      <c r="C4" s="30"/>
    </row>
    <row r="5" spans="1:7" ht="15">
      <c r="A5" s="606" t="s">
        <v>140</v>
      </c>
      <c r="B5" s="186">
        <f>Parâmetros!B10</f>
        <v>2020</v>
      </c>
      <c r="C5" s="186">
        <f>B5+1</f>
        <v>2021</v>
      </c>
      <c r="D5" s="186">
        <f>C5+1</f>
        <v>2022</v>
      </c>
      <c r="E5" s="186">
        <f>D5+1</f>
        <v>2023</v>
      </c>
      <c r="F5" s="186">
        <f>E5+1</f>
        <v>2024</v>
      </c>
      <c r="G5" s="186">
        <f>F5+1</f>
        <v>2025</v>
      </c>
    </row>
    <row r="6" spans="1:7" ht="39.75" customHeight="1">
      <c r="A6" s="606"/>
      <c r="B6" s="282" t="s">
        <v>123</v>
      </c>
      <c r="C6" s="238" t="s">
        <v>123</v>
      </c>
      <c r="D6" s="238" t="s">
        <v>124</v>
      </c>
      <c r="E6" s="238" t="s">
        <v>556</v>
      </c>
      <c r="F6" s="238" t="s">
        <v>556</v>
      </c>
      <c r="G6" s="238" t="s">
        <v>556</v>
      </c>
    </row>
    <row r="7" spans="1:7" ht="21.75" customHeight="1">
      <c r="A7" s="281" t="s">
        <v>550</v>
      </c>
      <c r="B7" s="283">
        <f aca="true" t="shared" si="0" ref="B7:G7">B8+B9+B10</f>
        <v>2907857.46</v>
      </c>
      <c r="C7" s="283">
        <f t="shared" si="0"/>
        <v>2345847.81</v>
      </c>
      <c r="D7" s="283">
        <f t="shared" si="0"/>
        <v>2418932.23</v>
      </c>
      <c r="E7" s="283">
        <f t="shared" si="0"/>
        <v>2557545.8333333335</v>
      </c>
      <c r="F7" s="283">
        <f t="shared" si="0"/>
        <v>2440775.291111111</v>
      </c>
      <c r="G7" s="283">
        <f t="shared" si="0"/>
        <v>2472417.7848148146</v>
      </c>
    </row>
    <row r="8" spans="1:7" ht="22.5" customHeight="1">
      <c r="A8" s="188" t="s">
        <v>547</v>
      </c>
      <c r="B8" s="62">
        <v>0</v>
      </c>
      <c r="C8" s="62">
        <v>0</v>
      </c>
      <c r="D8" s="62">
        <v>0</v>
      </c>
      <c r="E8" s="190">
        <f aca="true" t="shared" si="1" ref="E8:G10">(B8+C8+D8)/3</f>
        <v>0</v>
      </c>
      <c r="F8" s="190">
        <f t="shared" si="1"/>
        <v>0</v>
      </c>
      <c r="G8" s="190">
        <f t="shared" si="1"/>
        <v>0</v>
      </c>
    </row>
    <row r="9" spans="1:7" ht="22.5" customHeight="1">
      <c r="A9" s="188" t="s">
        <v>548</v>
      </c>
      <c r="B9" s="62">
        <v>2907857.46</v>
      </c>
      <c r="C9" s="62">
        <v>2345847.81</v>
      </c>
      <c r="D9" s="62">
        <v>2418932.23</v>
      </c>
      <c r="E9" s="190">
        <f t="shared" si="1"/>
        <v>2557545.8333333335</v>
      </c>
      <c r="F9" s="190">
        <f t="shared" si="1"/>
        <v>2440775.291111111</v>
      </c>
      <c r="G9" s="190">
        <f t="shared" si="1"/>
        <v>2472417.7848148146</v>
      </c>
    </row>
    <row r="10" spans="1:7" ht="22.5" customHeight="1">
      <c r="A10" s="188" t="s">
        <v>549</v>
      </c>
      <c r="B10" s="62">
        <v>0</v>
      </c>
      <c r="C10" s="62">
        <v>0</v>
      </c>
      <c r="D10" s="62">
        <v>0</v>
      </c>
      <c r="E10" s="190">
        <f t="shared" si="1"/>
        <v>0</v>
      </c>
      <c r="F10" s="190">
        <f t="shared" si="1"/>
        <v>0</v>
      </c>
      <c r="G10" s="190">
        <f t="shared" si="1"/>
        <v>0</v>
      </c>
    </row>
    <row r="11" spans="1:7" ht="15">
      <c r="A11" s="188" t="s">
        <v>551</v>
      </c>
      <c r="B11" s="283">
        <f aca="true" t="shared" si="2" ref="B11:G11">B12-B13+B14</f>
        <v>2593540.8400000003</v>
      </c>
      <c r="C11" s="283">
        <f t="shared" si="2"/>
        <v>4756859.45</v>
      </c>
      <c r="D11" s="283">
        <f t="shared" si="2"/>
        <v>2527564.5100000002</v>
      </c>
      <c r="E11" s="283">
        <f t="shared" si="2"/>
        <v>3292654.9333333336</v>
      </c>
      <c r="F11" s="283">
        <f t="shared" si="2"/>
        <v>3525692.9644444445</v>
      </c>
      <c r="G11" s="283">
        <f t="shared" si="2"/>
        <v>3115304.135925926</v>
      </c>
    </row>
    <row r="12" spans="1:7" ht="15">
      <c r="A12" s="188" t="s">
        <v>552</v>
      </c>
      <c r="B12" s="62">
        <v>2601896.37</v>
      </c>
      <c r="C12" s="62">
        <v>4790589.94</v>
      </c>
      <c r="D12" s="62">
        <v>2702479.56</v>
      </c>
      <c r="E12" s="190">
        <f aca="true" t="shared" si="3" ref="E12:G14">(B12+C12+D12)/3</f>
        <v>3364988.6233333335</v>
      </c>
      <c r="F12" s="190">
        <f t="shared" si="3"/>
        <v>3619352.7077777777</v>
      </c>
      <c r="G12" s="190">
        <f t="shared" si="3"/>
        <v>3228940.297037037</v>
      </c>
    </row>
    <row r="13" spans="1:7" ht="15">
      <c r="A13" s="188" t="s">
        <v>553</v>
      </c>
      <c r="B13" s="62">
        <v>8355.53</v>
      </c>
      <c r="C13" s="62">
        <v>33730.49</v>
      </c>
      <c r="D13" s="62">
        <v>174915.05</v>
      </c>
      <c r="E13" s="190">
        <f t="shared" si="3"/>
        <v>72333.68999999999</v>
      </c>
      <c r="F13" s="190">
        <f t="shared" si="3"/>
        <v>93659.74333333333</v>
      </c>
      <c r="G13" s="190">
        <f t="shared" si="3"/>
        <v>113636.16111111111</v>
      </c>
    </row>
    <row r="14" spans="1:7" ht="15">
      <c r="A14" s="188" t="s">
        <v>555</v>
      </c>
      <c r="B14" s="62">
        <v>0</v>
      </c>
      <c r="C14" s="62">
        <v>0</v>
      </c>
      <c r="D14" s="62">
        <v>0</v>
      </c>
      <c r="E14" s="190">
        <f t="shared" si="3"/>
        <v>0</v>
      </c>
      <c r="F14" s="190">
        <f t="shared" si="3"/>
        <v>0</v>
      </c>
      <c r="G14" s="190">
        <f t="shared" si="3"/>
        <v>0</v>
      </c>
    </row>
    <row r="15" spans="1:7" ht="20.25" customHeight="1">
      <c r="A15" s="188" t="s">
        <v>554</v>
      </c>
      <c r="B15" s="189">
        <f aca="true" t="shared" si="4" ref="B15:G15">B7-B11</f>
        <v>314316.61999999965</v>
      </c>
      <c r="C15" s="189">
        <f t="shared" si="4"/>
        <v>-2411011.64</v>
      </c>
      <c r="D15" s="189">
        <f t="shared" si="4"/>
        <v>-108632.28000000026</v>
      </c>
      <c r="E15" s="189">
        <f t="shared" si="4"/>
        <v>-735109.1000000001</v>
      </c>
      <c r="F15" s="189">
        <f t="shared" si="4"/>
        <v>-1084917.6733333333</v>
      </c>
      <c r="G15" s="189">
        <f t="shared" si="4"/>
        <v>-642886.3511111112</v>
      </c>
    </row>
    <row r="16" spans="1:7" s="34" customFormat="1" ht="15">
      <c r="A16" s="47"/>
      <c r="B16" s="48"/>
      <c r="C16" s="48"/>
      <c r="D16" s="48"/>
      <c r="E16" s="48"/>
      <c r="F16" s="48"/>
      <c r="G16" s="48"/>
    </row>
    <row r="17" spans="1:7" ht="15">
      <c r="A17" s="49" t="s">
        <v>557</v>
      </c>
      <c r="B17" s="63"/>
      <c r="C17" s="50"/>
      <c r="D17" s="50"/>
      <c r="E17" s="50"/>
      <c r="F17" s="50"/>
      <c r="G17" s="51" t="s">
        <v>5</v>
      </c>
    </row>
    <row r="18" spans="1:7" ht="15">
      <c r="A18" s="606" t="s">
        <v>147</v>
      </c>
      <c r="B18" s="186">
        <f>Parâmetros!B10</f>
        <v>2020</v>
      </c>
      <c r="C18" s="186">
        <f>B18+1</f>
        <v>2021</v>
      </c>
      <c r="D18" s="186">
        <f>C18+1</f>
        <v>2022</v>
      </c>
      <c r="E18" s="186">
        <f>D18+1</f>
        <v>2023</v>
      </c>
      <c r="F18" s="186">
        <f>E18+1</f>
        <v>2024</v>
      </c>
      <c r="G18" s="186">
        <f>F18+1</f>
        <v>2025</v>
      </c>
    </row>
    <row r="19" spans="1:7" ht="15">
      <c r="A19" s="606"/>
      <c r="B19" s="186" t="s">
        <v>10</v>
      </c>
      <c r="C19" s="187" t="s">
        <v>10</v>
      </c>
      <c r="D19" s="187" t="s">
        <v>124</v>
      </c>
      <c r="E19" s="187" t="s">
        <v>11</v>
      </c>
      <c r="F19" s="187" t="s">
        <v>11</v>
      </c>
      <c r="G19" s="187" t="s">
        <v>11</v>
      </c>
    </row>
    <row r="20" spans="1:7" s="35" customFormat="1" ht="15">
      <c r="A20" s="191" t="s">
        <v>38</v>
      </c>
      <c r="B20" s="192">
        <f>Projeções!D82</f>
        <v>0</v>
      </c>
      <c r="C20" s="192">
        <f>Projeções!E82</f>
        <v>0</v>
      </c>
      <c r="D20" s="192">
        <f>Projeções!F82</f>
        <v>1000000</v>
      </c>
      <c r="E20" s="64">
        <v>3000000</v>
      </c>
      <c r="F20" s="64">
        <v>0</v>
      </c>
      <c r="G20" s="64">
        <v>0</v>
      </c>
    </row>
    <row r="21" spans="1:7" ht="15">
      <c r="A21" s="188" t="s">
        <v>449</v>
      </c>
      <c r="B21" s="189">
        <f>Projeções!D130+Projeções!D131</f>
        <v>0</v>
      </c>
      <c r="C21" s="189">
        <f>Projeções!E130+Projeções!E131</f>
        <v>0</v>
      </c>
      <c r="D21" s="189">
        <f>Projeções!F130+Projeções!F131</f>
        <v>0</v>
      </c>
      <c r="E21" s="189">
        <f>Projeções!G130+Projeções!G131</f>
        <v>0</v>
      </c>
      <c r="F21" s="189">
        <f>Projeções!H130+Projeções!H131</f>
        <v>0</v>
      </c>
      <c r="G21" s="189">
        <f>Projeções!I130+Projeções!I131</f>
        <v>0</v>
      </c>
    </row>
    <row r="22" spans="1:7" ht="15">
      <c r="A22" s="188" t="s">
        <v>450</v>
      </c>
      <c r="B22" s="189">
        <f>Projeções!D155+Projeções!D156</f>
        <v>996737.68</v>
      </c>
      <c r="C22" s="189">
        <f>Projeções!E155+Projeções!E156</f>
        <v>977952.81</v>
      </c>
      <c r="D22" s="189">
        <f>Projeções!F155+Projeções!F156</f>
        <v>1310000</v>
      </c>
      <c r="E22" s="189">
        <f>Projeções!G155+Projeções!G156</f>
        <v>1346081.3477364953</v>
      </c>
      <c r="F22" s="189">
        <f>Projeções!H155+Projeções!H156</f>
        <v>1413385.4151233202</v>
      </c>
      <c r="G22" s="189">
        <f>Projeções!I155+Projeções!I156</f>
        <v>1484054.6858794861</v>
      </c>
    </row>
    <row r="23" spans="1:7" ht="15.75" customHeight="1" hidden="1">
      <c r="A23" s="66" t="s">
        <v>35</v>
      </c>
      <c r="B23" s="65"/>
      <c r="C23" s="65"/>
      <c r="D23" s="65"/>
      <c r="E23" s="65"/>
      <c r="F23" s="65"/>
      <c r="G23" s="65"/>
    </row>
    <row r="24" spans="1:7" ht="12.75">
      <c r="A24" s="603" t="s">
        <v>203</v>
      </c>
      <c r="B24" s="604"/>
      <c r="C24" s="604"/>
      <c r="D24" s="604"/>
      <c r="E24" s="604"/>
      <c r="F24" s="604"/>
      <c r="G24" s="605"/>
    </row>
    <row r="25" spans="1:3" ht="12">
      <c r="A25" s="33"/>
      <c r="C25" s="30"/>
    </row>
    <row r="26" spans="1:3" ht="12">
      <c r="A26" s="33"/>
      <c r="C26" s="30"/>
    </row>
    <row r="27" spans="1:3" ht="12">
      <c r="A27" s="33"/>
      <c r="C27" s="30"/>
    </row>
    <row r="28" spans="1:3" ht="12">
      <c r="A28" s="33"/>
      <c r="C28" s="30"/>
    </row>
    <row r="29" spans="1:3" ht="12">
      <c r="A29" s="33"/>
      <c r="C29" s="30"/>
    </row>
    <row r="30" spans="1:3" ht="12">
      <c r="A30" s="33"/>
      <c r="C30" s="30"/>
    </row>
    <row r="31" ht="12">
      <c r="A31" s="36"/>
    </row>
    <row r="32" ht="12">
      <c r="A32" s="36"/>
    </row>
    <row r="33" ht="12">
      <c r="A33" s="36"/>
    </row>
    <row r="34" ht="12">
      <c r="A34" s="36"/>
    </row>
    <row r="35" ht="12">
      <c r="A35" s="36"/>
    </row>
    <row r="36" ht="12">
      <c r="A36" s="36"/>
    </row>
    <row r="37" ht="12">
      <c r="A37" s="36"/>
    </row>
    <row r="38" ht="12">
      <c r="A38" s="36"/>
    </row>
    <row r="39" ht="12">
      <c r="A39" s="36"/>
    </row>
    <row r="40" ht="12">
      <c r="A40" s="36"/>
    </row>
    <row r="41" ht="12">
      <c r="A41" s="36"/>
    </row>
    <row r="42" ht="12">
      <c r="A42" s="36"/>
    </row>
    <row r="43" ht="12">
      <c r="A43" s="36"/>
    </row>
    <row r="44" ht="12">
      <c r="A44" s="36"/>
    </row>
  </sheetData>
  <sheetProtection/>
  <mergeCells count="6">
    <mergeCell ref="A24:G24"/>
    <mergeCell ref="A18:A19"/>
    <mergeCell ref="A1:J1"/>
    <mergeCell ref="A2:J2"/>
    <mergeCell ref="A3:J3"/>
    <mergeCell ref="A5:A6"/>
  </mergeCells>
  <printOptions/>
  <pageMargins left="0.787401575" right="0.787401575" top="0.984251969" bottom="0.984251969" header="0.492125985" footer="0.492125985"/>
  <pageSetup horizontalDpi="600" verticalDpi="600" orientation="landscape"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81"/>
  <sheetViews>
    <sheetView zoomScalePageLayoutView="0" workbookViewId="0" topLeftCell="A1">
      <selection activeCell="J14" sqref="J14"/>
    </sheetView>
  </sheetViews>
  <sheetFormatPr defaultColWidth="32.00390625" defaultRowHeight="12.75"/>
  <cols>
    <col min="1" max="1" width="65.8515625" style="269" customWidth="1"/>
    <col min="2" max="2" width="15.57421875" style="271" customWidth="1"/>
    <col min="3" max="3" width="16.57421875" style="274" customWidth="1"/>
    <col min="4" max="4" width="16.7109375" style="269" customWidth="1"/>
    <col min="5" max="5" width="16.28125" style="269" customWidth="1"/>
    <col min="6" max="6" width="16.140625" style="269" customWidth="1"/>
    <col min="7" max="7" width="15.8515625" style="269" customWidth="1"/>
    <col min="8" max="16" width="13.7109375" style="269" customWidth="1"/>
    <col min="17" max="16384" width="32.00390625" style="269" customWidth="1"/>
  </cols>
  <sheetData>
    <row r="1" spans="1:8" ht="15">
      <c r="A1" s="612" t="str">
        <f>Parâmetros!A7</f>
        <v>Município de Barra do Quaraí</v>
      </c>
      <c r="B1" s="613"/>
      <c r="C1" s="613"/>
      <c r="D1" s="613"/>
      <c r="E1" s="613"/>
      <c r="F1" s="613"/>
      <c r="G1" s="613"/>
      <c r="H1" s="614"/>
    </row>
    <row r="2" spans="1:8" ht="15">
      <c r="A2" s="615" t="s">
        <v>717</v>
      </c>
      <c r="B2" s="613"/>
      <c r="C2" s="613"/>
      <c r="D2" s="613"/>
      <c r="E2" s="613"/>
      <c r="F2" s="613"/>
      <c r="G2" s="613"/>
      <c r="H2" s="614"/>
    </row>
    <row r="3" spans="1:8" ht="15">
      <c r="A3" s="615" t="s">
        <v>591</v>
      </c>
      <c r="B3" s="613"/>
      <c r="C3" s="613"/>
      <c r="D3" s="613"/>
      <c r="E3" s="613"/>
      <c r="F3" s="613"/>
      <c r="G3" s="613"/>
      <c r="H3" s="614"/>
    </row>
    <row r="4" spans="1:3" ht="15">
      <c r="A4" s="270"/>
      <c r="C4" s="269"/>
    </row>
    <row r="5" spans="1:7" ht="15">
      <c r="A5" s="611" t="s">
        <v>468</v>
      </c>
      <c r="B5" s="258">
        <f>Parâmetros!B10</f>
        <v>2020</v>
      </c>
      <c r="C5" s="258">
        <f>B5+1</f>
        <v>2021</v>
      </c>
      <c r="D5" s="258">
        <f>C5+1</f>
        <v>2022</v>
      </c>
      <c r="E5" s="258">
        <f>D5+1</f>
        <v>2023</v>
      </c>
      <c r="F5" s="258">
        <f>E5+1</f>
        <v>2024</v>
      </c>
      <c r="G5" s="258">
        <f>F5+1</f>
        <v>2025</v>
      </c>
    </row>
    <row r="6" spans="1:7" ht="12.75" customHeight="1">
      <c r="A6" s="611"/>
      <c r="B6" s="258" t="s">
        <v>469</v>
      </c>
      <c r="C6" s="258" t="s">
        <v>469</v>
      </c>
      <c r="D6" s="259" t="s">
        <v>470</v>
      </c>
      <c r="E6" s="259" t="s">
        <v>470</v>
      </c>
      <c r="F6" s="259" t="s">
        <v>470</v>
      </c>
      <c r="G6" s="259" t="s">
        <v>470</v>
      </c>
    </row>
    <row r="7" spans="1:7" ht="19.5" customHeight="1">
      <c r="A7" s="260" t="s">
        <v>562</v>
      </c>
      <c r="B7" s="312">
        <f>Projeções!D8+Projeções!D108-Projeções!D112</f>
        <v>25547455.853999995</v>
      </c>
      <c r="C7" s="312">
        <f>Projeções!E8+Projeções!E108-Projeções!E112</f>
        <v>27193008.379999995</v>
      </c>
      <c r="D7" s="312">
        <f>Projeções!F8+Projeções!F108-Projeções!F112</f>
        <v>28388464.504</v>
      </c>
      <c r="E7" s="312">
        <f>Projeções!G8+Projeções!G108-Projeções!G112</f>
        <v>30895968.852965914</v>
      </c>
      <c r="F7" s="312">
        <f>Projeções!H8+Projeções!H108-Projeções!H112</f>
        <v>31491281.048048478</v>
      </c>
      <c r="G7" s="312">
        <f>Projeções!I8+Projeções!I108-Projeções!I112</f>
        <v>32253421.54461237</v>
      </c>
    </row>
    <row r="8" spans="1:7" ht="19.5" customHeight="1">
      <c r="A8" s="261" t="s">
        <v>471</v>
      </c>
      <c r="B8" s="312">
        <f>Projeções!D25-Projeções!D28</f>
        <v>105209.83</v>
      </c>
      <c r="C8" s="312">
        <f>Projeções!E25-Projeções!E28</f>
        <v>146013.91</v>
      </c>
      <c r="D8" s="312">
        <f>Projeções!F25-Projeções!F28</f>
        <v>88236.07</v>
      </c>
      <c r="E8" s="312">
        <f>Projeções!G25-Projeções!G28</f>
        <v>144485.078402046</v>
      </c>
      <c r="F8" s="312">
        <f>Projeções!H25-Projeções!H28</f>
        <v>155502.06563020198</v>
      </c>
      <c r="G8" s="312">
        <f>Projeções!I25-Projeções!I28</f>
        <v>167359.09813450486</v>
      </c>
    </row>
    <row r="9" spans="1:7" ht="19.5" customHeight="1">
      <c r="A9" s="261" t="s">
        <v>472</v>
      </c>
      <c r="B9" s="313">
        <f>Projeções!D28</f>
        <v>0</v>
      </c>
      <c r="C9" s="313">
        <f>Projeções!E28</f>
        <v>0</v>
      </c>
      <c r="D9" s="313">
        <f>Projeções!F28</f>
        <v>0</v>
      </c>
      <c r="E9" s="313">
        <f>Projeções!G28</f>
        <v>0</v>
      </c>
      <c r="F9" s="313">
        <f>Projeções!H28</f>
        <v>0</v>
      </c>
      <c r="G9" s="313">
        <f>Projeções!I28</f>
        <v>0</v>
      </c>
    </row>
    <row r="10" spans="1:7" ht="19.5" customHeight="1">
      <c r="A10" s="261" t="s">
        <v>473</v>
      </c>
      <c r="B10" s="313">
        <f>Projeções!D37+Projeções!D72+Projeções!D77+Projeções!D79</f>
        <v>0</v>
      </c>
      <c r="C10" s="313">
        <f>Projeções!E37+Projeções!E72+Projeções!E77+Projeções!E79</f>
        <v>0</v>
      </c>
      <c r="D10" s="313">
        <f>Projeções!F37+Projeções!F72+Projeções!F77+Projeções!F79</f>
        <v>0</v>
      </c>
      <c r="E10" s="313">
        <f>Projeções!G37+Projeções!G72+Projeções!G77+Projeções!G79</f>
        <v>0</v>
      </c>
      <c r="F10" s="313">
        <f>Projeções!H37+Projeções!H72+Projeções!H77+Projeções!H79</f>
        <v>0</v>
      </c>
      <c r="G10" s="313">
        <f>Projeções!I37+Projeções!I72+Projeções!I77+Projeções!I79</f>
        <v>0</v>
      </c>
    </row>
    <row r="11" spans="1:7" ht="19.5" customHeight="1">
      <c r="A11" s="260" t="s">
        <v>500</v>
      </c>
      <c r="B11" s="314">
        <f aca="true" t="shared" si="0" ref="B11:G11">B7-B8-B9-B10</f>
        <v>25442246.023999996</v>
      </c>
      <c r="C11" s="314">
        <f t="shared" si="0"/>
        <v>27046994.469999995</v>
      </c>
      <c r="D11" s="314">
        <f t="shared" si="0"/>
        <v>28300228.434</v>
      </c>
      <c r="E11" s="314">
        <f t="shared" si="0"/>
        <v>30751483.774563868</v>
      </c>
      <c r="F11" s="314">
        <f t="shared" si="0"/>
        <v>31335778.982418276</v>
      </c>
      <c r="G11" s="314">
        <f t="shared" si="0"/>
        <v>32086062.446477864</v>
      </c>
    </row>
    <row r="12" spans="1:7" ht="19.5" customHeight="1">
      <c r="A12" s="260"/>
      <c r="B12" s="314"/>
      <c r="C12" s="314"/>
      <c r="D12" s="314"/>
      <c r="E12" s="314"/>
      <c r="F12" s="314"/>
      <c r="G12" s="314"/>
    </row>
    <row r="13" spans="1:7" ht="19.5" customHeight="1">
      <c r="A13" s="262" t="s">
        <v>563</v>
      </c>
      <c r="B13" s="314">
        <f>Projeções!D81+Projeções!D112</f>
        <v>17576.02</v>
      </c>
      <c r="C13" s="314">
        <f>Projeções!E81+Projeções!E112</f>
        <v>264093.77999999997</v>
      </c>
      <c r="D13" s="314">
        <f>Projeções!F81+Projeções!F112</f>
        <v>1022396.57</v>
      </c>
      <c r="E13" s="314">
        <f>Projeções!G81+Projeções!G112</f>
        <v>3021637.325944184</v>
      </c>
      <c r="F13" s="314">
        <f>Projeções!H81+Projeções!H112</f>
        <v>22719.192241393048</v>
      </c>
      <c r="G13" s="314">
        <f>Projeções!I81+Projeções!I112</f>
        <v>23855.151853462703</v>
      </c>
    </row>
    <row r="14" spans="1:7" ht="19.5" customHeight="1">
      <c r="A14" s="263" t="s">
        <v>474</v>
      </c>
      <c r="B14" s="313">
        <f>Projeções!D82</f>
        <v>0</v>
      </c>
      <c r="C14" s="313">
        <f>Projeções!E82</f>
        <v>0</v>
      </c>
      <c r="D14" s="313">
        <f>Projeções!F82</f>
        <v>1000000</v>
      </c>
      <c r="E14" s="313">
        <f>Projeções!G82</f>
        <v>3000000</v>
      </c>
      <c r="F14" s="313">
        <f>Projeções!H82</f>
        <v>0</v>
      </c>
      <c r="G14" s="313">
        <f>Projeções!I82</f>
        <v>0</v>
      </c>
    </row>
    <row r="15" spans="1:7" ht="19.5" customHeight="1">
      <c r="A15" s="263" t="s">
        <v>475</v>
      </c>
      <c r="B15" s="313">
        <f>Projeções!D90</f>
        <v>0</v>
      </c>
      <c r="C15" s="313">
        <f>Projeções!E90</f>
        <v>0</v>
      </c>
      <c r="D15" s="313">
        <f>Projeções!F90</f>
        <v>0</v>
      </c>
      <c r="E15" s="313">
        <f>Projeções!G90</f>
        <v>0</v>
      </c>
      <c r="F15" s="313">
        <f>Projeções!H90</f>
        <v>0</v>
      </c>
      <c r="G15" s="313">
        <f>Projeções!I90</f>
        <v>0</v>
      </c>
    </row>
    <row r="16" spans="1:7" ht="19.5" customHeight="1">
      <c r="A16" s="263" t="s">
        <v>476</v>
      </c>
      <c r="B16" s="313">
        <f>Projeções!D86+Projeções!D87</f>
        <v>0</v>
      </c>
      <c r="C16" s="313">
        <f>Projeções!E86+Projeções!E87</f>
        <v>0</v>
      </c>
      <c r="D16" s="313">
        <f>Projeções!F86+Projeções!F87</f>
        <v>0</v>
      </c>
      <c r="E16" s="313">
        <f>Projeções!G86+Projeções!G87</f>
        <v>0</v>
      </c>
      <c r="F16" s="313">
        <f>Projeções!H86+Projeções!H87</f>
        <v>0</v>
      </c>
      <c r="G16" s="313">
        <f>Projeções!I86+Projeções!I87</f>
        <v>0</v>
      </c>
    </row>
    <row r="17" spans="1:7" ht="19.5" customHeight="1">
      <c r="A17" s="263" t="s">
        <v>477</v>
      </c>
      <c r="B17" s="313">
        <f>Projeções!D101</f>
        <v>0</v>
      </c>
      <c r="C17" s="313">
        <f>Projeções!E101</f>
        <v>0</v>
      </c>
      <c r="D17" s="313">
        <f>Projeções!F101</f>
        <v>0</v>
      </c>
      <c r="E17" s="313">
        <f>Projeções!G101</f>
        <v>0</v>
      </c>
      <c r="F17" s="313">
        <f>Projeções!H101</f>
        <v>0</v>
      </c>
      <c r="G17" s="313">
        <f>Projeções!I101</f>
        <v>0</v>
      </c>
    </row>
    <row r="18" spans="1:7" ht="19.5" customHeight="1">
      <c r="A18" s="262" t="s">
        <v>501</v>
      </c>
      <c r="B18" s="314">
        <f aca="true" t="shared" si="1" ref="B18:G18">B13-B14-B15-B16-B17</f>
        <v>17576.02</v>
      </c>
      <c r="C18" s="314">
        <f t="shared" si="1"/>
        <v>264093.77999999997</v>
      </c>
      <c r="D18" s="314">
        <f t="shared" si="1"/>
        <v>22396.56999999995</v>
      </c>
      <c r="E18" s="314">
        <f t="shared" si="1"/>
        <v>21637.32594418386</v>
      </c>
      <c r="F18" s="314">
        <f t="shared" si="1"/>
        <v>22719.192241393048</v>
      </c>
      <c r="G18" s="314">
        <f t="shared" si="1"/>
        <v>23855.151853462703</v>
      </c>
    </row>
    <row r="19" spans="1:7" s="272" customFormat="1" ht="19.5" customHeight="1">
      <c r="A19" s="265" t="s">
        <v>502</v>
      </c>
      <c r="B19" s="315">
        <f aca="true" t="shared" si="2" ref="B19:G19">B11+B18</f>
        <v>25459822.043999996</v>
      </c>
      <c r="C19" s="315">
        <f t="shared" si="2"/>
        <v>27311088.249999996</v>
      </c>
      <c r="D19" s="315">
        <f t="shared" si="2"/>
        <v>28322625.004</v>
      </c>
      <c r="E19" s="315">
        <f t="shared" si="2"/>
        <v>30773121.100508053</v>
      </c>
      <c r="F19" s="315">
        <f t="shared" si="2"/>
        <v>31358498.17465967</v>
      </c>
      <c r="G19" s="315">
        <f t="shared" si="2"/>
        <v>32109917.59833133</v>
      </c>
    </row>
    <row r="20" ht="15">
      <c r="A20" s="273"/>
    </row>
    <row r="21" spans="1:7" ht="15">
      <c r="A21" s="611" t="s">
        <v>495</v>
      </c>
      <c r="B21" s="258">
        <f>B5</f>
        <v>2020</v>
      </c>
      <c r="C21" s="258">
        <f>B21+1</f>
        <v>2021</v>
      </c>
      <c r="D21" s="258">
        <f>C21+1</f>
        <v>2022</v>
      </c>
      <c r="E21" s="258">
        <f>D21+1</f>
        <v>2023</v>
      </c>
      <c r="F21" s="258">
        <f>E21+1</f>
        <v>2024</v>
      </c>
      <c r="G21" s="258">
        <f>F21+1</f>
        <v>2025</v>
      </c>
    </row>
    <row r="22" spans="1:7" ht="15">
      <c r="A22" s="611"/>
      <c r="B22" s="258" t="s">
        <v>505</v>
      </c>
      <c r="C22" s="258" t="s">
        <v>505</v>
      </c>
      <c r="D22" s="259" t="s">
        <v>506</v>
      </c>
      <c r="E22" s="259" t="s">
        <v>470</v>
      </c>
      <c r="F22" s="259" t="s">
        <v>470</v>
      </c>
      <c r="G22" s="259" t="s">
        <v>470</v>
      </c>
    </row>
    <row r="23" spans="1:7" ht="15">
      <c r="A23" s="260" t="s">
        <v>564</v>
      </c>
      <c r="B23" s="316">
        <f>Projeções!D122-Projeções!D128-Projeções!D134-Projeções!D140</f>
        <v>22507726.58</v>
      </c>
      <c r="C23" s="316">
        <f>Projeções!E122-Projeções!E128-Projeções!E134-Projeções!E140</f>
        <v>23336444.59</v>
      </c>
      <c r="D23" s="316">
        <f>Projeções!F122-Projeções!F128-Projeções!F134-Projeções!F140</f>
        <v>26499554.6</v>
      </c>
      <c r="E23" s="316">
        <f>Projeções!G122-Projeções!G128-Projeções!G134-Projeções!G140</f>
        <v>27351560.775037013</v>
      </c>
      <c r="F23" s="316">
        <f>Projeções!H122-Projeções!H128-Projeções!H134-Projeções!H140</f>
        <v>30804346.87615468</v>
      </c>
      <c r="G23" s="316">
        <f>Projeções!I122-Projeções!I128-Projeções!I134-Projeções!I140</f>
        <v>35235499.31798345</v>
      </c>
    </row>
    <row r="24" spans="1:7" ht="15">
      <c r="A24" s="261" t="s">
        <v>496</v>
      </c>
      <c r="B24" s="312">
        <f>Projeções!D129-Projeções!D134</f>
        <v>0</v>
      </c>
      <c r="C24" s="312">
        <f>Projeções!E129-Projeções!E134</f>
        <v>0</v>
      </c>
      <c r="D24" s="312">
        <f>Projeções!F129-Projeções!F134</f>
        <v>0</v>
      </c>
      <c r="E24" s="312">
        <f>Projeções!G129-Projeções!G134</f>
        <v>0</v>
      </c>
      <c r="F24" s="312">
        <f>Projeções!H129-Projeções!H134</f>
        <v>0</v>
      </c>
      <c r="G24" s="312">
        <f>Projeções!I129-Projeções!I134</f>
        <v>0</v>
      </c>
    </row>
    <row r="25" spans="1:7" ht="15">
      <c r="A25" s="260" t="s">
        <v>503</v>
      </c>
      <c r="B25" s="314">
        <f aca="true" t="shared" si="3" ref="B25:G25">B23-B24</f>
        <v>22507726.58</v>
      </c>
      <c r="C25" s="314">
        <f t="shared" si="3"/>
        <v>23336444.59</v>
      </c>
      <c r="D25" s="314">
        <f t="shared" si="3"/>
        <v>26499554.6</v>
      </c>
      <c r="E25" s="314">
        <f t="shared" si="3"/>
        <v>27351560.775037013</v>
      </c>
      <c r="F25" s="314">
        <f t="shared" si="3"/>
        <v>30804346.87615468</v>
      </c>
      <c r="G25" s="314">
        <f t="shared" si="3"/>
        <v>35235499.31798345</v>
      </c>
    </row>
    <row r="26" spans="1:7" ht="15">
      <c r="A26" s="260"/>
      <c r="B26" s="314"/>
      <c r="C26" s="314"/>
      <c r="D26" s="314"/>
      <c r="E26" s="314"/>
      <c r="F26" s="314"/>
      <c r="G26" s="314"/>
    </row>
    <row r="27" spans="1:7" ht="15">
      <c r="A27" s="262" t="s">
        <v>565</v>
      </c>
      <c r="B27" s="314">
        <f>Projeções!D141-Projeções!D147-Projeções!D153-Projeções!D159</f>
        <v>1609683.6600000001</v>
      </c>
      <c r="C27" s="314">
        <f>Projeções!E141-Projeções!E147-Projeções!E153-Projeções!E159</f>
        <v>1607456.36</v>
      </c>
      <c r="D27" s="314">
        <f>Projeções!F141-Projeções!F147-Projeções!F153-Projeções!F159</f>
        <v>2911306.4699999997</v>
      </c>
      <c r="E27" s="314">
        <f>Projeções!G141-Projeções!G147-Projeções!G153-Projeções!G159</f>
        <v>4875413.640226052</v>
      </c>
      <c r="F27" s="314">
        <f>Projeções!H141-Projeções!H147-Projeções!H153-Projeções!H159</f>
        <v>7216103.944937194</v>
      </c>
      <c r="G27" s="314">
        <f>Projeções!I141-Projeções!I147-Projeções!I153-Projeções!I159</f>
        <v>12353665.770646954</v>
      </c>
    </row>
    <row r="28" spans="1:7" ht="15">
      <c r="A28" s="263" t="s">
        <v>497</v>
      </c>
      <c r="B28" s="313">
        <f>Projeções!D149</f>
        <v>0</v>
      </c>
      <c r="C28" s="313">
        <f>Projeções!E149</f>
        <v>0</v>
      </c>
      <c r="D28" s="313">
        <f>Projeções!F149</f>
        <v>0</v>
      </c>
      <c r="E28" s="313">
        <f>Projeções!G149</f>
        <v>0</v>
      </c>
      <c r="F28" s="313">
        <f>Projeções!H149</f>
        <v>0</v>
      </c>
      <c r="G28" s="313">
        <f>Projeções!I149</f>
        <v>0</v>
      </c>
    </row>
    <row r="29" spans="1:7" ht="15">
      <c r="A29" s="263" t="s">
        <v>573</v>
      </c>
      <c r="B29" s="313"/>
      <c r="C29" s="313"/>
      <c r="D29" s="313"/>
      <c r="E29" s="313"/>
      <c r="F29" s="313"/>
      <c r="G29" s="313"/>
    </row>
    <row r="30" spans="1:7" ht="15">
      <c r="A30" s="263" t="s">
        <v>498</v>
      </c>
      <c r="B30" s="313"/>
      <c r="C30" s="313"/>
      <c r="D30" s="313"/>
      <c r="E30" s="313"/>
      <c r="F30" s="313"/>
      <c r="G30" s="313"/>
    </row>
    <row r="31" spans="1:7" ht="15">
      <c r="A31" s="263" t="s">
        <v>499</v>
      </c>
      <c r="B31" s="313">
        <f>Projeções!D154-Projeções!D159</f>
        <v>996737.68</v>
      </c>
      <c r="C31" s="313">
        <f>Projeções!E154-Projeções!E159</f>
        <v>977952.81</v>
      </c>
      <c r="D31" s="313">
        <f>Projeções!F154-Projeções!F159</f>
        <v>1310000</v>
      </c>
      <c r="E31" s="313">
        <f>Projeções!G154-Projeções!G159</f>
        <v>1346081.3477364953</v>
      </c>
      <c r="F31" s="313">
        <f>Projeções!H154-Projeções!H159</f>
        <v>1413385.4151233202</v>
      </c>
      <c r="G31" s="313">
        <f>Projeções!I154-Projeções!I159</f>
        <v>1484054.6858794861</v>
      </c>
    </row>
    <row r="32" spans="1:7" ht="15">
      <c r="A32" s="262" t="s">
        <v>504</v>
      </c>
      <c r="B32" s="314">
        <f aca="true" t="shared" si="4" ref="B32:G32">B27-B28-B29-B30-B31</f>
        <v>612945.9800000001</v>
      </c>
      <c r="C32" s="314">
        <f t="shared" si="4"/>
        <v>629503.55</v>
      </c>
      <c r="D32" s="314">
        <f t="shared" si="4"/>
        <v>1601306.4699999997</v>
      </c>
      <c r="E32" s="314">
        <f t="shared" si="4"/>
        <v>3529332.2924895566</v>
      </c>
      <c r="F32" s="314">
        <f t="shared" si="4"/>
        <v>5802718.529813874</v>
      </c>
      <c r="G32" s="314">
        <f t="shared" si="4"/>
        <v>10869611.084767468</v>
      </c>
    </row>
    <row r="33" spans="1:7" ht="15">
      <c r="A33" s="265" t="s">
        <v>601</v>
      </c>
      <c r="B33" s="315">
        <f aca="true" t="shared" si="5" ref="B33:G33">B25+B32</f>
        <v>23120672.56</v>
      </c>
      <c r="C33" s="315">
        <f t="shared" si="5"/>
        <v>23965948.14</v>
      </c>
      <c r="D33" s="315">
        <f t="shared" si="5"/>
        <v>28100861.07</v>
      </c>
      <c r="E33" s="315">
        <f t="shared" si="5"/>
        <v>30880893.06752657</v>
      </c>
      <c r="F33" s="315">
        <f t="shared" si="5"/>
        <v>36607065.405968554</v>
      </c>
      <c r="G33" s="315">
        <f t="shared" si="5"/>
        <v>46105110.40275092</v>
      </c>
    </row>
    <row r="34" spans="1:7" ht="15">
      <c r="A34" s="374" t="s">
        <v>600</v>
      </c>
      <c r="B34" s="375"/>
      <c r="C34" s="375"/>
      <c r="D34" s="375"/>
      <c r="E34" s="315">
        <f>Projeções!G160+Projeções!G161</f>
        <v>1690631.763647031</v>
      </c>
      <c r="F34" s="315">
        <f>Projeções!H160+Projeções!H161</f>
        <v>-6506450.580802005</v>
      </c>
      <c r="G34" s="315">
        <f>Projeções!I160+Projeções!I161</f>
        <v>-15311888.392164558</v>
      </c>
    </row>
    <row r="35" spans="1:7" ht="15">
      <c r="A35" s="265" t="s">
        <v>602</v>
      </c>
      <c r="B35" s="375"/>
      <c r="C35" s="375"/>
      <c r="D35" s="375"/>
      <c r="E35" s="315">
        <f>E33+E34</f>
        <v>32571524.831173602</v>
      </c>
      <c r="F35" s="315">
        <f>F33+F34</f>
        <v>30100614.82516655</v>
      </c>
      <c r="G35" s="315">
        <f>G33+G34</f>
        <v>30793222.01058636</v>
      </c>
    </row>
    <row r="36" spans="1:7" ht="15">
      <c r="A36" s="265"/>
      <c r="B36" s="375"/>
      <c r="C36" s="375"/>
      <c r="D36" s="375"/>
      <c r="E36" s="315"/>
      <c r="F36" s="315"/>
      <c r="G36" s="315"/>
    </row>
    <row r="37" spans="1:7" ht="15">
      <c r="A37" s="279" t="s">
        <v>603</v>
      </c>
      <c r="B37" s="280">
        <f>B19-B33</f>
        <v>2339149.4839999974</v>
      </c>
      <c r="C37" s="280">
        <f>C19-C33</f>
        <v>3345140.1099999957</v>
      </c>
      <c r="D37" s="280">
        <f>D19-D33</f>
        <v>221763.93400000036</v>
      </c>
      <c r="E37" s="280">
        <f>E19-E35</f>
        <v>-1798403.7306655496</v>
      </c>
      <c r="F37" s="280">
        <f>F19-F35</f>
        <v>1257883.3494931199</v>
      </c>
      <c r="G37" s="280">
        <f>G19-G35</f>
        <v>1316695.5877449699</v>
      </c>
    </row>
    <row r="39" spans="1:7" ht="15">
      <c r="A39" s="611" t="s">
        <v>507</v>
      </c>
      <c r="B39" s="258">
        <f>B21</f>
        <v>2020</v>
      </c>
      <c r="C39" s="258">
        <f>B39+1</f>
        <v>2021</v>
      </c>
      <c r="D39" s="258">
        <f>C39+1</f>
        <v>2022</v>
      </c>
      <c r="E39" s="258">
        <f>D39+1</f>
        <v>2023</v>
      </c>
      <c r="F39" s="258">
        <f>E39+1</f>
        <v>2024</v>
      </c>
      <c r="G39" s="258">
        <f>F39+1</f>
        <v>2025</v>
      </c>
    </row>
    <row r="40" spans="1:7" ht="15.75" thickBot="1">
      <c r="A40" s="611"/>
      <c r="B40" s="258" t="s">
        <v>123</v>
      </c>
      <c r="C40" s="258" t="s">
        <v>123</v>
      </c>
      <c r="D40" s="259" t="s">
        <v>123</v>
      </c>
      <c r="E40" s="259" t="s">
        <v>470</v>
      </c>
      <c r="F40" s="259" t="s">
        <v>470</v>
      </c>
      <c r="G40" s="259" t="s">
        <v>470</v>
      </c>
    </row>
    <row r="41" spans="1:7" ht="30.75" thickBot="1">
      <c r="A41" s="266" t="s">
        <v>508</v>
      </c>
      <c r="B41" s="264"/>
      <c r="C41" s="264"/>
      <c r="D41" s="264"/>
      <c r="E41" s="313">
        <f>((B41+C41+D41)/3)*(1+Parâmetros!E21)</f>
        <v>0</v>
      </c>
      <c r="F41" s="313">
        <f>((C41+D41+E41)/3)*(1+Parâmetros!F21)</f>
        <v>0</v>
      </c>
      <c r="G41" s="313">
        <f>((D41+E41+F41)/3)*(1+Parâmetros!G21)</f>
        <v>0</v>
      </c>
    </row>
    <row r="42" spans="1:7" ht="30.75" thickBot="1">
      <c r="A42" s="267" t="s">
        <v>509</v>
      </c>
      <c r="B42" s="264">
        <v>0</v>
      </c>
      <c r="C42" s="264">
        <v>0</v>
      </c>
      <c r="D42" s="264">
        <v>0</v>
      </c>
      <c r="E42" s="313">
        <f>((B42+C42+D42)/3)*(1+Parâmetros!E21)</f>
        <v>0</v>
      </c>
      <c r="F42" s="313">
        <f>((C42+D42+E42)/3)*(1+Parâmetros!F21)</f>
        <v>0</v>
      </c>
      <c r="G42" s="313">
        <f>((D42+E42+F42)/3)*(1+Parâmetros!G21)</f>
        <v>0</v>
      </c>
    </row>
    <row r="43" spans="1:7" ht="30.75" thickBot="1">
      <c r="A43" s="267" t="s">
        <v>510</v>
      </c>
      <c r="B43" s="264">
        <v>0</v>
      </c>
      <c r="C43" s="264">
        <v>0</v>
      </c>
      <c r="D43" s="264">
        <v>0</v>
      </c>
      <c r="E43" s="313">
        <f>((B43+C43+D43)/3)*(1+Parâmetros!E21)</f>
        <v>0</v>
      </c>
      <c r="F43" s="313">
        <f>((C43+D43+E43)/3)*(1+Parâmetros!F21)</f>
        <v>0</v>
      </c>
      <c r="G43" s="313">
        <f>((D43+E43+F43)/3)*(1+Parâmetros!G21)</f>
        <v>0</v>
      </c>
    </row>
    <row r="44" spans="1:7" ht="30.75" thickBot="1">
      <c r="A44" s="267" t="s">
        <v>511</v>
      </c>
      <c r="B44" s="264">
        <v>0</v>
      </c>
      <c r="C44" s="264">
        <v>0</v>
      </c>
      <c r="D44" s="264">
        <v>0</v>
      </c>
      <c r="E44" s="313">
        <f>((B44+C44+D44)/3)*(1+Parâmetros!E21)</f>
        <v>0</v>
      </c>
      <c r="F44" s="313">
        <f>((C44+D44+E44)/3)*(1+Parâmetros!F21)</f>
        <v>0</v>
      </c>
      <c r="G44" s="313">
        <f>((D44+E44+F44)/3)*(1+Parâmetros!G21)</f>
        <v>0</v>
      </c>
    </row>
    <row r="45" spans="1:7" ht="30.75" thickBot="1">
      <c r="A45" s="267" t="s">
        <v>512</v>
      </c>
      <c r="B45" s="264">
        <v>0</v>
      </c>
      <c r="C45" s="264">
        <v>0</v>
      </c>
      <c r="D45" s="264">
        <v>0</v>
      </c>
      <c r="E45" s="313">
        <f>((B45+C45+D45)/3)*(1+Parâmetros!E21)</f>
        <v>0</v>
      </c>
      <c r="F45" s="313">
        <f>((C45+D45+E45)/3)*(1+Parâmetros!F21)</f>
        <v>0</v>
      </c>
      <c r="G45" s="313">
        <f>((D45+E45+F45)/3)*(1+Parâmetros!G21)</f>
        <v>0</v>
      </c>
    </row>
    <row r="46" spans="1:7" ht="30.75" thickBot="1">
      <c r="A46" s="267" t="s">
        <v>513</v>
      </c>
      <c r="B46" s="264">
        <v>0</v>
      </c>
      <c r="C46" s="264">
        <v>0</v>
      </c>
      <c r="D46" s="264">
        <v>0</v>
      </c>
      <c r="E46" s="313">
        <f>((B46+C46+D46)/3)*(1+Parâmetros!E21)</f>
        <v>0</v>
      </c>
      <c r="F46" s="313">
        <f>((C46+D46+E46)/3)*(1+Parâmetros!F21)</f>
        <v>0</v>
      </c>
      <c r="G46" s="313">
        <f>((D46+E46+F46)/3)*(1+Parâmetros!G21)</f>
        <v>0</v>
      </c>
    </row>
    <row r="47" spans="1:7" ht="30.75" thickBot="1">
      <c r="A47" s="267" t="s">
        <v>514</v>
      </c>
      <c r="B47" s="264">
        <v>0</v>
      </c>
      <c r="C47" s="264">
        <v>0</v>
      </c>
      <c r="D47" s="264">
        <v>0</v>
      </c>
      <c r="E47" s="313">
        <f>((B47+C47+D47)/3)*(1+Parâmetros!E21)</f>
        <v>0</v>
      </c>
      <c r="F47" s="313">
        <f>((C47+D47+E47)/3)*(1+Parâmetros!F21)</f>
        <v>0</v>
      </c>
      <c r="G47" s="313">
        <f>((D47+E47+F47)/3)*(1+Parâmetros!G21)</f>
        <v>0</v>
      </c>
    </row>
    <row r="48" spans="1:7" ht="30.75" thickBot="1">
      <c r="A48" s="267" t="s">
        <v>515</v>
      </c>
      <c r="B48" s="264">
        <v>0</v>
      </c>
      <c r="C48" s="264">
        <v>0</v>
      </c>
      <c r="D48" s="264">
        <v>0</v>
      </c>
      <c r="E48" s="313">
        <f>((B48+C48+D48)/3)*(1+Parâmetros!E21)</f>
        <v>0</v>
      </c>
      <c r="F48" s="313">
        <f>((C48+D48+E48)/3)*(1+Parâmetros!F21)</f>
        <v>0</v>
      </c>
      <c r="G48" s="313">
        <f>((D48+E48+F48)/3)*(1+Parâmetros!G21)</f>
        <v>0</v>
      </c>
    </row>
    <row r="49" spans="1:7" ht="30.75" thickBot="1">
      <c r="A49" s="267" t="s">
        <v>516</v>
      </c>
      <c r="B49" s="264">
        <v>0</v>
      </c>
      <c r="C49" s="264">
        <v>0</v>
      </c>
      <c r="D49" s="264">
        <v>0</v>
      </c>
      <c r="E49" s="313">
        <f>((B49+C49+D49)/3)*(1+Parâmetros!E21)</f>
        <v>0</v>
      </c>
      <c r="F49" s="313">
        <f>((C49+D49+E49)/3)*(1+Parâmetros!F21)</f>
        <v>0</v>
      </c>
      <c r="G49" s="313">
        <f>((D49+E49+F49)/3)*(1+Parâmetros!G21)</f>
        <v>0</v>
      </c>
    </row>
    <row r="50" spans="1:7" ht="30.75" thickBot="1">
      <c r="A50" s="267" t="s">
        <v>517</v>
      </c>
      <c r="B50" s="264">
        <v>0</v>
      </c>
      <c r="C50" s="264">
        <v>0</v>
      </c>
      <c r="D50" s="264">
        <v>0</v>
      </c>
      <c r="E50" s="313">
        <f>((B50+C50+D50)/3)*(1+Parâmetros!E21)</f>
        <v>0</v>
      </c>
      <c r="F50" s="313">
        <f>((C50+D50+E50)/3)*(1+Parâmetros!F21)</f>
        <v>0</v>
      </c>
      <c r="G50" s="313">
        <f>((D50+E50+F50)/3)*(1+Parâmetros!G21)</f>
        <v>0</v>
      </c>
    </row>
    <row r="51" spans="1:7" ht="30.75" thickBot="1">
      <c r="A51" s="267" t="s">
        <v>518</v>
      </c>
      <c r="B51" s="264">
        <v>0</v>
      </c>
      <c r="C51" s="264">
        <v>0</v>
      </c>
      <c r="D51" s="264">
        <v>0</v>
      </c>
      <c r="E51" s="313">
        <f>((B51+C51+D51)/3)*(1+Parâmetros!E21)</f>
        <v>0</v>
      </c>
      <c r="F51" s="313">
        <f>((C51+D51+E51)/3)*(1+Parâmetros!F21)</f>
        <v>0</v>
      </c>
      <c r="G51" s="313">
        <f>((D51+E51+F51)/3)*(1+Parâmetros!G21)</f>
        <v>0</v>
      </c>
    </row>
    <row r="52" spans="1:7" ht="30.75" thickBot="1">
      <c r="A52" s="267" t="s">
        <v>519</v>
      </c>
      <c r="B52" s="264">
        <v>0</v>
      </c>
      <c r="C52" s="264">
        <v>0</v>
      </c>
      <c r="D52" s="264">
        <v>0</v>
      </c>
      <c r="E52" s="313">
        <f>((B52+C52+D52)/3)*(1+Parâmetros!E21)</f>
        <v>0</v>
      </c>
      <c r="F52" s="313">
        <f>((C52+D52+E52)/3)*(1+Parâmetros!F21)</f>
        <v>0</v>
      </c>
      <c r="G52" s="313">
        <f>((D52+E52+F52)/3)*(1+Parâmetros!G21)</f>
        <v>0</v>
      </c>
    </row>
    <row r="53" spans="1:7" ht="30.75" thickBot="1">
      <c r="A53" s="267" t="s">
        <v>520</v>
      </c>
      <c r="B53" s="264">
        <v>0</v>
      </c>
      <c r="C53" s="264">
        <v>0</v>
      </c>
      <c r="D53" s="264">
        <v>0</v>
      </c>
      <c r="E53" s="313">
        <f>((B53+C53+D53)/3)*(1+Parâmetros!E21)</f>
        <v>0</v>
      </c>
      <c r="F53" s="313">
        <f>((C53+D53+E53)/3)*(1+Parâmetros!F21)</f>
        <v>0</v>
      </c>
      <c r="G53" s="313">
        <f>((D53+E53+F53)/3)*(1+Parâmetros!G21)</f>
        <v>0</v>
      </c>
    </row>
    <row r="54" spans="1:7" ht="30.75" thickBot="1">
      <c r="A54" s="267" t="s">
        <v>521</v>
      </c>
      <c r="B54" s="264">
        <v>0</v>
      </c>
      <c r="C54" s="264">
        <v>0</v>
      </c>
      <c r="D54" s="264">
        <v>0</v>
      </c>
      <c r="E54" s="313">
        <f>((B54+C54+D54)/3)*(1+Parâmetros!E21)</f>
        <v>0</v>
      </c>
      <c r="F54" s="313">
        <f>((C54+D54+E54)/3)*(1+Parâmetros!F21)</f>
        <v>0</v>
      </c>
      <c r="G54" s="313">
        <f>((D54+E54+F54)/3)*(1+Parâmetros!G21)</f>
        <v>0</v>
      </c>
    </row>
    <row r="55" spans="1:7" ht="30.75" thickBot="1">
      <c r="A55" s="267" t="s">
        <v>522</v>
      </c>
      <c r="B55" s="264">
        <v>0</v>
      </c>
      <c r="C55" s="264">
        <v>0</v>
      </c>
      <c r="D55" s="264">
        <v>0</v>
      </c>
      <c r="E55" s="313">
        <f>((B55+C55+D55)/3)*(1+Parâmetros!E21)</f>
        <v>0</v>
      </c>
      <c r="F55" s="313">
        <f>((C55+D55+E55)/3)*(1+Parâmetros!F21)</f>
        <v>0</v>
      </c>
      <c r="G55" s="313">
        <f>((D55+E55+F55)/3)*(1+Parâmetros!G21)</f>
        <v>0</v>
      </c>
    </row>
    <row r="56" spans="1:7" ht="15.75" thickBot="1">
      <c r="A56" s="267" t="s">
        <v>523</v>
      </c>
      <c r="B56" s="264">
        <v>0</v>
      </c>
      <c r="C56" s="264">
        <v>0</v>
      </c>
      <c r="D56" s="264">
        <v>0</v>
      </c>
      <c r="E56" s="313">
        <f>((B56+C56+D56)/3)*(1+Parâmetros!E21)</f>
        <v>0</v>
      </c>
      <c r="F56" s="313">
        <f>((C56+D56+E56)/3)*(1+Parâmetros!F21)</f>
        <v>0</v>
      </c>
      <c r="G56" s="313">
        <f>((D56+E56+F56)/3)*(1+Parâmetros!G21)</f>
        <v>0</v>
      </c>
    </row>
    <row r="57" spans="1:7" ht="15">
      <c r="A57" s="268" t="s">
        <v>524</v>
      </c>
      <c r="B57" s="264">
        <v>0</v>
      </c>
      <c r="C57" s="264">
        <v>0</v>
      </c>
      <c r="D57" s="264">
        <v>0</v>
      </c>
      <c r="E57" s="313">
        <f>((B57+C57+D57)/3)*(1+Parâmetros!E21)</f>
        <v>0</v>
      </c>
      <c r="F57" s="313">
        <f>((C57+D57+E57)/3)*(1+Parâmetros!F21)</f>
        <v>0</v>
      </c>
      <c r="G57" s="313">
        <f>((D57+E57+F57)/3)*(1+Parâmetros!G21)</f>
        <v>0</v>
      </c>
    </row>
    <row r="58" spans="1:7" ht="15">
      <c r="A58" s="275" t="s">
        <v>525</v>
      </c>
      <c r="B58" s="276">
        <f aca="true" t="shared" si="6" ref="B58:G58">SUM(B41:B57)</f>
        <v>0</v>
      </c>
      <c r="C58" s="276">
        <f t="shared" si="6"/>
        <v>0</v>
      </c>
      <c r="D58" s="276">
        <f t="shared" si="6"/>
        <v>0</v>
      </c>
      <c r="E58" s="276">
        <f t="shared" si="6"/>
        <v>0</v>
      </c>
      <c r="F58" s="276">
        <f t="shared" si="6"/>
        <v>0</v>
      </c>
      <c r="G58" s="276">
        <f t="shared" si="6"/>
        <v>0</v>
      </c>
    </row>
    <row r="60" spans="1:7" ht="15">
      <c r="A60" s="611" t="s">
        <v>526</v>
      </c>
      <c r="B60" s="258">
        <f>B39</f>
        <v>2020</v>
      </c>
      <c r="C60" s="258">
        <f>B60+1</f>
        <v>2021</v>
      </c>
      <c r="D60" s="258">
        <f>C60+1</f>
        <v>2022</v>
      </c>
      <c r="E60" s="258">
        <f>D60+1</f>
        <v>2023</v>
      </c>
      <c r="F60" s="258">
        <f>E60+1</f>
        <v>2024</v>
      </c>
      <c r="G60" s="258">
        <f>F60+1</f>
        <v>2025</v>
      </c>
    </row>
    <row r="61" spans="1:7" ht="15.75" thickBot="1">
      <c r="A61" s="611"/>
      <c r="B61" s="258" t="s">
        <v>123</v>
      </c>
      <c r="C61" s="258" t="s">
        <v>123</v>
      </c>
      <c r="D61" s="259" t="s">
        <v>123</v>
      </c>
      <c r="E61" s="259" t="s">
        <v>470</v>
      </c>
      <c r="F61" s="259" t="s">
        <v>470</v>
      </c>
      <c r="G61" s="259" t="s">
        <v>470</v>
      </c>
    </row>
    <row r="62" spans="1:7" ht="30.75" thickBot="1">
      <c r="A62" s="277" t="s">
        <v>528</v>
      </c>
      <c r="B62" s="264"/>
      <c r="C62" s="264"/>
      <c r="D62" s="264"/>
      <c r="E62" s="313">
        <f>((B62+C62+D62)/3)*(1+Parâmetros!E21)</f>
        <v>0</v>
      </c>
      <c r="F62" s="313">
        <f>((C62+D62+E62)/3)*(1+Parâmetros!F21)</f>
        <v>0</v>
      </c>
      <c r="G62" s="313">
        <f>((D62+E62+F62)/3)*(1+Parâmetros!G21)</f>
        <v>0</v>
      </c>
    </row>
    <row r="63" spans="1:7" ht="30.75" thickBot="1">
      <c r="A63" s="278" t="s">
        <v>529</v>
      </c>
      <c r="B63" s="264">
        <v>0</v>
      </c>
      <c r="C63" s="264">
        <v>0</v>
      </c>
      <c r="D63" s="264">
        <v>0</v>
      </c>
      <c r="E63" s="313">
        <f>((B63+C63+D63)/3)*(1+Parâmetros!E21)</f>
        <v>0</v>
      </c>
      <c r="F63" s="313">
        <f>((C63+D63+E63)/3)*(1+Parâmetros!F21)</f>
        <v>0</v>
      </c>
      <c r="G63" s="313">
        <f>((D63+E63+F63)/3)*(1+Parâmetros!G21)</f>
        <v>0</v>
      </c>
    </row>
    <row r="64" spans="1:7" ht="30.75" thickBot="1">
      <c r="A64" s="278" t="s">
        <v>530</v>
      </c>
      <c r="B64" s="264">
        <v>0</v>
      </c>
      <c r="C64" s="264">
        <v>0</v>
      </c>
      <c r="D64" s="264">
        <v>0</v>
      </c>
      <c r="E64" s="313">
        <f>((B64+C64+D64)/3)*(1+Parâmetros!E21)</f>
        <v>0</v>
      </c>
      <c r="F64" s="313">
        <f>((C64+D64+E64)/3)*(1+Parâmetros!F21)</f>
        <v>0</v>
      </c>
      <c r="G64" s="313">
        <f>((D64+E64+F64)/3)*(1+Parâmetros!G21)</f>
        <v>0</v>
      </c>
    </row>
    <row r="65" spans="1:7" ht="30.75" thickBot="1">
      <c r="A65" s="278" t="s">
        <v>531</v>
      </c>
      <c r="B65" s="264">
        <v>0</v>
      </c>
      <c r="C65" s="264">
        <v>0</v>
      </c>
      <c r="D65" s="264">
        <v>0</v>
      </c>
      <c r="E65" s="313">
        <f>((B65+C65+D65)/3)*(1+Parâmetros!E21)</f>
        <v>0</v>
      </c>
      <c r="F65" s="313">
        <f>((C65+D65+E65)/3)*(1+Parâmetros!F21)</f>
        <v>0</v>
      </c>
      <c r="G65" s="313">
        <f>((D65+E65+F65)/3)*(1+Parâmetros!G21)</f>
        <v>0</v>
      </c>
    </row>
    <row r="66" spans="1:7" ht="30.75" thickBot="1">
      <c r="A66" s="278" t="s">
        <v>532</v>
      </c>
      <c r="B66" s="264">
        <v>0</v>
      </c>
      <c r="C66" s="264">
        <v>0</v>
      </c>
      <c r="D66" s="264">
        <v>0</v>
      </c>
      <c r="E66" s="313">
        <f>((B66+C66+D66)/3)*(1+Parâmetros!E21)</f>
        <v>0</v>
      </c>
      <c r="F66" s="313">
        <f>((C66+D66+E66)/3)*(1+Parâmetros!F21)</f>
        <v>0</v>
      </c>
      <c r="G66" s="313">
        <f>((D66+E66+F66)/3)*(1+Parâmetros!G21)</f>
        <v>0</v>
      </c>
    </row>
    <row r="67" spans="1:7" ht="15.75" thickBot="1">
      <c r="A67" s="278" t="s">
        <v>533</v>
      </c>
      <c r="B67" s="264">
        <v>0</v>
      </c>
      <c r="C67" s="264">
        <v>0</v>
      </c>
      <c r="D67" s="264">
        <v>0</v>
      </c>
      <c r="E67" s="313">
        <f>((B67+C67+D67)/3)*(1+Parâmetros!E21)</f>
        <v>0</v>
      </c>
      <c r="F67" s="313">
        <f>((C67+D67+E67)/3)*(1+Parâmetros!F21)</f>
        <v>0</v>
      </c>
      <c r="G67" s="313">
        <f>((D67+E67+F67)/3)*(1+Parâmetros!G21)</f>
        <v>0</v>
      </c>
    </row>
    <row r="68" spans="1:7" ht="30.75" thickBot="1">
      <c r="A68" s="278" t="s">
        <v>534</v>
      </c>
      <c r="B68" s="264">
        <v>0</v>
      </c>
      <c r="C68" s="264">
        <v>0</v>
      </c>
      <c r="D68" s="264">
        <v>0</v>
      </c>
      <c r="E68" s="313">
        <f>((B68+C68+D68)/3)*(1+Parâmetros!E21)</f>
        <v>0</v>
      </c>
      <c r="F68" s="313">
        <f>((C68+D68+E68)/3)*(1+Parâmetros!F21)</f>
        <v>0</v>
      </c>
      <c r="G68" s="313">
        <f>((D68+E68+F68)/3)*(1+Parâmetros!G21)</f>
        <v>0</v>
      </c>
    </row>
    <row r="69" spans="1:7" ht="30.75" thickBot="1">
      <c r="A69" s="278" t="s">
        <v>535</v>
      </c>
      <c r="B69" s="264">
        <v>0</v>
      </c>
      <c r="C69" s="264">
        <v>0</v>
      </c>
      <c r="D69" s="264">
        <v>0</v>
      </c>
      <c r="E69" s="313">
        <f>((B69+C69+D69)/3)*(1+Parâmetros!E21)</f>
        <v>0</v>
      </c>
      <c r="F69" s="313">
        <f>((C69+D69+E69)/3)*(1+Parâmetros!F21)</f>
        <v>0</v>
      </c>
      <c r="G69" s="313">
        <f>((D69+E69+F69)/3)*(1+Parâmetros!G21)</f>
        <v>0</v>
      </c>
    </row>
    <row r="70" spans="1:7" ht="30.75" thickBot="1">
      <c r="A70" s="278" t="s">
        <v>536</v>
      </c>
      <c r="B70" s="264">
        <v>0</v>
      </c>
      <c r="C70" s="264">
        <v>0</v>
      </c>
      <c r="D70" s="264">
        <v>0</v>
      </c>
      <c r="E70" s="313">
        <f>((B70+C70+D70)/3)*(1+Parâmetros!E21)</f>
        <v>0</v>
      </c>
      <c r="F70" s="313">
        <f>((C70+D70+E70)/3)*(1+Parâmetros!F21)</f>
        <v>0</v>
      </c>
      <c r="G70" s="313">
        <f>((D70+E70+F70)/3)*(1+Parâmetros!G21)</f>
        <v>0</v>
      </c>
    </row>
    <row r="71" spans="1:7" ht="30.75" thickBot="1">
      <c r="A71" s="278" t="s">
        <v>537</v>
      </c>
      <c r="B71" s="264">
        <v>0</v>
      </c>
      <c r="C71" s="264">
        <v>0</v>
      </c>
      <c r="D71" s="264">
        <v>0</v>
      </c>
      <c r="E71" s="313">
        <f>((B71+C71+D71)/3)*(1+Parâmetros!E21)</f>
        <v>0</v>
      </c>
      <c r="F71" s="313">
        <f>((C71+D71+E71)/3)*(1+Parâmetros!F21)</f>
        <v>0</v>
      </c>
      <c r="G71" s="313">
        <f>((D71+E71+F71)/3)*(1+Parâmetros!G21)</f>
        <v>0</v>
      </c>
    </row>
    <row r="72" spans="1:7" ht="30.75" thickBot="1">
      <c r="A72" s="278" t="s">
        <v>538</v>
      </c>
      <c r="B72" s="264">
        <v>0</v>
      </c>
      <c r="C72" s="264">
        <v>0</v>
      </c>
      <c r="D72" s="264">
        <v>0</v>
      </c>
      <c r="E72" s="313">
        <f>((B72+C72+D72)/3)*(1+Parâmetros!E21)</f>
        <v>0</v>
      </c>
      <c r="F72" s="313">
        <f>((C72+D72+E72)/3)*(1+Parâmetros!F21)</f>
        <v>0</v>
      </c>
      <c r="G72" s="313">
        <f>((D72+E72+F72)/3)*(1+Parâmetros!G21)</f>
        <v>0</v>
      </c>
    </row>
    <row r="73" spans="1:7" ht="30.75" thickBot="1">
      <c r="A73" s="278" t="s">
        <v>539</v>
      </c>
      <c r="B73" s="264">
        <v>0</v>
      </c>
      <c r="C73" s="264">
        <v>0</v>
      </c>
      <c r="D73" s="264">
        <v>0</v>
      </c>
      <c r="E73" s="313">
        <f>((B73+C73+D73)/3)*(1+Parâmetros!E21)</f>
        <v>0</v>
      </c>
      <c r="F73" s="313">
        <f>((C73+D73+E73)/3)*(1+Parâmetros!F21)</f>
        <v>0</v>
      </c>
      <c r="G73" s="313">
        <f>((D73+E73+F73)/3)*(1+Parâmetros!G21)</f>
        <v>0</v>
      </c>
    </row>
    <row r="74" spans="1:7" ht="30.75" thickBot="1">
      <c r="A74" s="278" t="s">
        <v>540</v>
      </c>
      <c r="B74" s="264">
        <v>0</v>
      </c>
      <c r="C74" s="264">
        <v>0</v>
      </c>
      <c r="D74" s="264">
        <v>0</v>
      </c>
      <c r="E74" s="313">
        <f>((B74+C74+D74)/3)*(1+Parâmetros!E21)</f>
        <v>0</v>
      </c>
      <c r="F74" s="313">
        <f>((C74+D74+E74)/3)*(1+Parâmetros!F21)</f>
        <v>0</v>
      </c>
      <c r="G74" s="313">
        <f>((D74+E74+F74)/3)*(1+Parâmetros!G21)</f>
        <v>0</v>
      </c>
    </row>
    <row r="75" spans="1:7" ht="30.75" thickBot="1">
      <c r="A75" s="278" t="s">
        <v>541</v>
      </c>
      <c r="B75" s="264">
        <v>0</v>
      </c>
      <c r="C75" s="264">
        <v>0</v>
      </c>
      <c r="D75" s="264">
        <v>0</v>
      </c>
      <c r="E75" s="313">
        <f>((B75+C75+D75)/3)*(1+Parâmetros!E21)</f>
        <v>0</v>
      </c>
      <c r="F75" s="313">
        <f>((C75+D75+E75)/3)*(1+Parâmetros!F21)</f>
        <v>0</v>
      </c>
      <c r="G75" s="313">
        <f>((D75+E75+F75)/3)*(1+Parâmetros!G21)</f>
        <v>0</v>
      </c>
    </row>
    <row r="76" spans="1:7" ht="30.75" thickBot="1">
      <c r="A76" s="278" t="s">
        <v>542</v>
      </c>
      <c r="B76" s="264">
        <v>0</v>
      </c>
      <c r="C76" s="264">
        <v>0</v>
      </c>
      <c r="D76" s="264">
        <v>0</v>
      </c>
      <c r="E76" s="313">
        <f>((B76+C76+D76)/3)*(1+Parâmetros!E21)</f>
        <v>0</v>
      </c>
      <c r="F76" s="313">
        <f>((C76+D76+E76)/3)*(1+Parâmetros!F21)</f>
        <v>0</v>
      </c>
      <c r="G76" s="313">
        <f>((D76+E76+F76)/3)*(1+Parâmetros!G21)</f>
        <v>0</v>
      </c>
    </row>
    <row r="77" spans="1:7" ht="30.75" thickBot="1">
      <c r="A77" s="278" t="s">
        <v>543</v>
      </c>
      <c r="B77" s="264">
        <v>0</v>
      </c>
      <c r="C77" s="264">
        <v>0</v>
      </c>
      <c r="D77" s="264">
        <v>0</v>
      </c>
      <c r="E77" s="313">
        <f>((B77+C77+D77)/3)*(1+Parâmetros!E21)</f>
        <v>0</v>
      </c>
      <c r="F77" s="313">
        <f>((C77+D77+E77)/3)*(1+Parâmetros!F21)</f>
        <v>0</v>
      </c>
      <c r="G77" s="313">
        <f>((D77+E77+F77)/3)*(1+Parâmetros!G21)</f>
        <v>0</v>
      </c>
    </row>
    <row r="78" spans="1:7" ht="30.75" thickBot="1">
      <c r="A78" s="278" t="s">
        <v>544</v>
      </c>
      <c r="B78" s="264">
        <v>0</v>
      </c>
      <c r="C78" s="264">
        <v>0</v>
      </c>
      <c r="D78" s="264">
        <v>0</v>
      </c>
      <c r="E78" s="313">
        <f>((B78+C78+D78)/3)*(1+Parâmetros!E21)</f>
        <v>0</v>
      </c>
      <c r="F78" s="313">
        <f>((C78+D78+E78)/3)*(1+Parâmetros!F21)</f>
        <v>0</v>
      </c>
      <c r="G78" s="313">
        <f>((D78+E78+F78)/3)*(1+Parâmetros!G21)</f>
        <v>0</v>
      </c>
    </row>
    <row r="79" spans="1:7" ht="15">
      <c r="A79" s="275" t="s">
        <v>527</v>
      </c>
      <c r="B79" s="404">
        <f aca="true" t="shared" si="7" ref="B79:G79">SUM(B62:B78)</f>
        <v>0</v>
      </c>
      <c r="C79" s="404">
        <f t="shared" si="7"/>
        <v>0</v>
      </c>
      <c r="D79" s="404">
        <f t="shared" si="7"/>
        <v>0</v>
      </c>
      <c r="E79" s="404">
        <f t="shared" si="7"/>
        <v>0</v>
      </c>
      <c r="F79" s="404">
        <f t="shared" si="7"/>
        <v>0</v>
      </c>
      <c r="G79" s="404">
        <f t="shared" si="7"/>
        <v>0</v>
      </c>
    </row>
    <row r="81" spans="1:7" ht="15">
      <c r="A81" s="279" t="s">
        <v>545</v>
      </c>
      <c r="B81" s="280">
        <f aca="true" t="shared" si="8" ref="B81:G81">B37+B58-B79</f>
        <v>2339149.4839999974</v>
      </c>
      <c r="C81" s="280">
        <f t="shared" si="8"/>
        <v>3345140.1099999957</v>
      </c>
      <c r="D81" s="280">
        <f t="shared" si="8"/>
        <v>221763.93400000036</v>
      </c>
      <c r="E81" s="280">
        <f t="shared" si="8"/>
        <v>-1798403.7306655496</v>
      </c>
      <c r="F81" s="280">
        <f t="shared" si="8"/>
        <v>1257883.3494931199</v>
      </c>
      <c r="G81" s="280">
        <f t="shared" si="8"/>
        <v>1316695.5877449699</v>
      </c>
    </row>
  </sheetData>
  <sheetProtection/>
  <mergeCells count="7">
    <mergeCell ref="A60:A61"/>
    <mergeCell ref="A1:H1"/>
    <mergeCell ref="A2:H2"/>
    <mergeCell ref="A3:H3"/>
    <mergeCell ref="A5:A6"/>
    <mergeCell ref="A21:A22"/>
    <mergeCell ref="A39:A40"/>
  </mergeCells>
  <printOptions/>
  <pageMargins left="0.511811024" right="0.511811024" top="0.787401575" bottom="0.787401575" header="0.31496062" footer="0.31496062"/>
  <pageSetup fitToHeight="0"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4" sqref="A4:L4"/>
    </sheetView>
  </sheetViews>
  <sheetFormatPr defaultColWidth="9.140625" defaultRowHeight="12.75"/>
  <cols>
    <col min="1" max="1" width="48.140625" style="383" customWidth="1"/>
    <col min="2" max="2" width="15.00390625" style="383" customWidth="1"/>
    <col min="3" max="3" width="13.57421875" style="383" customWidth="1"/>
    <col min="4" max="4" width="9.00390625" style="383" customWidth="1"/>
    <col min="5" max="5" width="10.28125" style="383" customWidth="1"/>
    <col min="6" max="6" width="13.8515625" style="383" customWidth="1"/>
    <col min="7" max="7" width="13.7109375" style="383" customWidth="1"/>
    <col min="8" max="9" width="10.7109375" style="383" customWidth="1"/>
    <col min="10" max="10" width="13.57421875" style="383" customWidth="1"/>
    <col min="11" max="11" width="13.8515625" style="383" customWidth="1"/>
    <col min="12" max="12" width="10.57421875" style="383" customWidth="1"/>
    <col min="13" max="13" width="10.00390625" style="383" customWidth="1"/>
    <col min="14" max="16384" width="9.140625" style="383" customWidth="1"/>
  </cols>
  <sheetData>
    <row r="1" spans="1:13" ht="15">
      <c r="A1" s="634" t="str">
        <f>Parâmetros!$A$7</f>
        <v>Município de Barra do Quaraí</v>
      </c>
      <c r="B1" s="621"/>
      <c r="C1" s="621"/>
      <c r="D1" s="621"/>
      <c r="E1" s="621"/>
      <c r="F1" s="621"/>
      <c r="G1" s="621"/>
      <c r="H1" s="621"/>
      <c r="I1" s="621"/>
      <c r="J1" s="621"/>
      <c r="K1" s="621"/>
      <c r="L1" s="622"/>
      <c r="M1" s="385"/>
    </row>
    <row r="2" spans="1:13" ht="15">
      <c r="A2" s="620" t="str">
        <f>Parâmetros!$A$8</f>
        <v>LEI DE DIRETRIZES ORÇAMENTÁRIAS  PARA 2023</v>
      </c>
      <c r="B2" s="621"/>
      <c r="C2" s="621"/>
      <c r="D2" s="621"/>
      <c r="E2" s="621"/>
      <c r="F2" s="621"/>
      <c r="G2" s="621"/>
      <c r="H2" s="621"/>
      <c r="I2" s="621"/>
      <c r="J2" s="621"/>
      <c r="K2" s="621"/>
      <c r="L2" s="622"/>
      <c r="M2" s="385"/>
    </row>
    <row r="3" spans="1:13" ht="15">
      <c r="A3" s="620" t="s">
        <v>148</v>
      </c>
      <c r="B3" s="621"/>
      <c r="C3" s="621"/>
      <c r="D3" s="621"/>
      <c r="E3" s="621"/>
      <c r="F3" s="621"/>
      <c r="G3" s="621"/>
      <c r="H3" s="621"/>
      <c r="I3" s="621"/>
      <c r="J3" s="621"/>
      <c r="K3" s="621"/>
      <c r="L3" s="622"/>
      <c r="M3" s="385"/>
    </row>
    <row r="4" spans="1:13" ht="15">
      <c r="A4" s="635" t="s">
        <v>622</v>
      </c>
      <c r="B4" s="636"/>
      <c r="C4" s="636"/>
      <c r="D4" s="636"/>
      <c r="E4" s="636"/>
      <c r="F4" s="636"/>
      <c r="G4" s="636"/>
      <c r="H4" s="636"/>
      <c r="I4" s="636"/>
      <c r="J4" s="636"/>
      <c r="K4" s="636"/>
      <c r="L4" s="637"/>
      <c r="M4" s="385"/>
    </row>
    <row r="5" spans="1:13" ht="15">
      <c r="A5" s="620" t="s">
        <v>718</v>
      </c>
      <c r="B5" s="621"/>
      <c r="C5" s="621"/>
      <c r="D5" s="621"/>
      <c r="E5" s="621"/>
      <c r="F5" s="621"/>
      <c r="G5" s="621"/>
      <c r="H5" s="621"/>
      <c r="I5" s="621"/>
      <c r="J5" s="621"/>
      <c r="K5" s="621"/>
      <c r="L5" s="622"/>
      <c r="M5" s="385"/>
    </row>
    <row r="6" spans="1:13" ht="11.25" customHeight="1">
      <c r="A6" s="620"/>
      <c r="B6" s="621"/>
      <c r="C6" s="621"/>
      <c r="D6" s="621"/>
      <c r="E6" s="621"/>
      <c r="F6" s="621"/>
      <c r="G6" s="621"/>
      <c r="H6" s="621"/>
      <c r="I6" s="621"/>
      <c r="J6" s="621"/>
      <c r="K6" s="621"/>
      <c r="L6" s="622"/>
      <c r="M6" s="385"/>
    </row>
    <row r="7" spans="1:13" ht="15">
      <c r="A7" s="623" t="s">
        <v>463</v>
      </c>
      <c r="B7" s="624"/>
      <c r="C7" s="624"/>
      <c r="D7" s="624"/>
      <c r="E7" s="624"/>
      <c r="F7" s="624"/>
      <c r="G7" s="624"/>
      <c r="H7" s="625"/>
      <c r="I7" s="386"/>
      <c r="J7" s="626">
        <v>1</v>
      </c>
      <c r="K7" s="627"/>
      <c r="L7" s="627"/>
      <c r="M7" s="627"/>
    </row>
    <row r="8" spans="1:13" s="384" customFormat="1" ht="15.75" customHeight="1">
      <c r="A8" s="628" t="s">
        <v>56</v>
      </c>
      <c r="B8" s="631">
        <f>Parâmetros!$E$10</f>
        <v>2023</v>
      </c>
      <c r="C8" s="632"/>
      <c r="D8" s="632"/>
      <c r="E8" s="633"/>
      <c r="F8" s="631">
        <f>B8+1</f>
        <v>2024</v>
      </c>
      <c r="G8" s="632"/>
      <c r="H8" s="632"/>
      <c r="I8" s="633"/>
      <c r="J8" s="631">
        <f>F8+1</f>
        <v>2025</v>
      </c>
      <c r="K8" s="632"/>
      <c r="L8" s="632"/>
      <c r="M8" s="632"/>
    </row>
    <row r="9" spans="1:13" ht="15">
      <c r="A9" s="629"/>
      <c r="B9" s="387" t="s">
        <v>57</v>
      </c>
      <c r="C9" s="388" t="s">
        <v>57</v>
      </c>
      <c r="D9" s="388" t="s">
        <v>58</v>
      </c>
      <c r="E9" s="388" t="s">
        <v>380</v>
      </c>
      <c r="F9" s="388" t="s">
        <v>57</v>
      </c>
      <c r="G9" s="388" t="s">
        <v>57</v>
      </c>
      <c r="H9" s="388" t="s">
        <v>58</v>
      </c>
      <c r="I9" s="388" t="s">
        <v>380</v>
      </c>
      <c r="J9" s="388" t="s">
        <v>57</v>
      </c>
      <c r="K9" s="388" t="s">
        <v>57</v>
      </c>
      <c r="L9" s="389" t="s">
        <v>58</v>
      </c>
      <c r="M9" s="406" t="s">
        <v>380</v>
      </c>
    </row>
    <row r="10" spans="1:13" ht="18.75" customHeight="1">
      <c r="A10" s="629"/>
      <c r="B10" s="390" t="s">
        <v>59</v>
      </c>
      <c r="C10" s="391" t="s">
        <v>60</v>
      </c>
      <c r="D10" s="391" t="s">
        <v>61</v>
      </c>
      <c r="E10" s="391" t="s">
        <v>623</v>
      </c>
      <c r="F10" s="391" t="s">
        <v>59</v>
      </c>
      <c r="G10" s="391" t="s">
        <v>60</v>
      </c>
      <c r="H10" s="391" t="s">
        <v>62</v>
      </c>
      <c r="I10" s="391" t="s">
        <v>624</v>
      </c>
      <c r="J10" s="391" t="s">
        <v>59</v>
      </c>
      <c r="K10" s="391" t="s">
        <v>60</v>
      </c>
      <c r="L10" s="390" t="s">
        <v>63</v>
      </c>
      <c r="M10" s="407" t="s">
        <v>625</v>
      </c>
    </row>
    <row r="11" spans="1:13" ht="15">
      <c r="A11" s="630"/>
      <c r="B11" s="392" t="s">
        <v>64</v>
      </c>
      <c r="C11" s="393"/>
      <c r="D11" s="394" t="s">
        <v>65</v>
      </c>
      <c r="E11" s="394" t="s">
        <v>65</v>
      </c>
      <c r="F11" s="394" t="s">
        <v>66</v>
      </c>
      <c r="G11" s="393"/>
      <c r="H11" s="394" t="s">
        <v>65</v>
      </c>
      <c r="I11" s="394" t="s">
        <v>65</v>
      </c>
      <c r="J11" s="394" t="s">
        <v>67</v>
      </c>
      <c r="K11" s="393"/>
      <c r="L11" s="395" t="s">
        <v>65</v>
      </c>
      <c r="M11" s="406" t="s">
        <v>65</v>
      </c>
    </row>
    <row r="12" spans="1:13" ht="15" customHeight="1">
      <c r="A12" s="396" t="s">
        <v>626</v>
      </c>
      <c r="B12" s="528">
        <f>'RPrim-Nom'!E7+'RPrim-Nom'!E13</f>
        <v>33917606.1789101</v>
      </c>
      <c r="C12" s="528">
        <f>B12/(1+Parâmetros!E11)</f>
        <v>32302482.075152475</v>
      </c>
      <c r="D12" s="616" t="s">
        <v>620</v>
      </c>
      <c r="E12" s="405">
        <f>B12/RCL!B13</f>
        <v>1.097800374551262</v>
      </c>
      <c r="F12" s="528">
        <f>'RPrim-Nom'!F7+'RPrim-Nom'!F13</f>
        <v>31514000.24028987</v>
      </c>
      <c r="G12" s="248">
        <f>F12/((1+Parâmetros!E11)*(1+Parâmetros!F11))</f>
        <v>28584127.20207698</v>
      </c>
      <c r="H12" s="616" t="s">
        <v>620</v>
      </c>
      <c r="I12" s="405">
        <f>F12/RCL!C13</f>
        <v>1.0007214438881267</v>
      </c>
      <c r="J12" s="528">
        <f>'RPrim-Nom'!G7+'RPrim-Nom'!G13</f>
        <v>32277276.696465835</v>
      </c>
      <c r="K12" s="248">
        <f>J12/((1+Parâmetros!E11)*(1+Parâmetros!F11)*(1+Parâmetros!G11))</f>
        <v>27882325.18861102</v>
      </c>
      <c r="L12" s="616" t="s">
        <v>620</v>
      </c>
      <c r="M12" s="405">
        <f>J12/RCL!D13</f>
        <v>1.0007396161619773</v>
      </c>
    </row>
    <row r="13" spans="1:13" ht="15">
      <c r="A13" s="396" t="s">
        <v>627</v>
      </c>
      <c r="B13" s="528">
        <f>B14+B19</f>
        <v>30773121.100508053</v>
      </c>
      <c r="C13" s="528">
        <f>B13/(1+Parâmetros!E11)</f>
        <v>29307734.38143624</v>
      </c>
      <c r="D13" s="617"/>
      <c r="E13" s="405">
        <f>B13/RCL!B13</f>
        <v>0.9960238258575902</v>
      </c>
      <c r="F13" s="528">
        <f>F14+F19</f>
        <v>31358498.17465967</v>
      </c>
      <c r="G13" s="248">
        <f>F13/((1+Parâmetros!E11)*(1+Parâmetros!F11))</f>
        <v>28443082.24458927</v>
      </c>
      <c r="H13" s="617"/>
      <c r="I13" s="405">
        <f>F13/RCL!C13</f>
        <v>0.9957835035930672</v>
      </c>
      <c r="J13" s="528">
        <f>J14+J19</f>
        <v>32109917.59833133</v>
      </c>
      <c r="K13" s="248">
        <f>J13/((1+Parâmetros!E11)*(1+Parâmetros!F11)*(1+Parâmetros!G11))</f>
        <v>27737754.107186113</v>
      </c>
      <c r="L13" s="617"/>
      <c r="M13" s="405">
        <f>J13/RCL!D13</f>
        <v>0.9955507372734843</v>
      </c>
    </row>
    <row r="14" spans="1:13" ht="15">
      <c r="A14" s="397" t="s">
        <v>628</v>
      </c>
      <c r="B14" s="528">
        <f>'RPrim-Nom'!E11</f>
        <v>30751483.774563868</v>
      </c>
      <c r="C14" s="528">
        <f>B14/(1+Parâmetros!E11)</f>
        <v>29287127.40434654</v>
      </c>
      <c r="D14" s="617"/>
      <c r="E14" s="405">
        <f>B14/RCL!B13</f>
        <v>0.9953234974086862</v>
      </c>
      <c r="F14" s="528">
        <f>'RPrim-Nom'!F11</f>
        <v>31335778.982418276</v>
      </c>
      <c r="G14" s="248">
        <f>F14/((1+Parâmetros!E11)*(1+Parâmetros!F11))</f>
        <v>28422475.26749957</v>
      </c>
      <c r="H14" s="617"/>
      <c r="I14" s="405">
        <f>F14/RCL!C13</f>
        <v>0.9950620597049405</v>
      </c>
      <c r="J14" s="528">
        <f>'RPrim-Nom'!G11</f>
        <v>32086062.446477864</v>
      </c>
      <c r="K14" s="248">
        <f>J14/((1+Parâmetros!E11)*(1+Parâmetros!F11)*(1+Parâmetros!G11))</f>
        <v>27717147.130096413</v>
      </c>
      <c r="L14" s="617"/>
      <c r="M14" s="405">
        <f>J14/RCL!D13</f>
        <v>0.9948111211115069</v>
      </c>
    </row>
    <row r="15" spans="1:13" ht="15">
      <c r="A15" s="398" t="s">
        <v>629</v>
      </c>
      <c r="B15" s="528">
        <f>Projeções!G9+Projeções!G109</f>
        <v>1777779.1594314552</v>
      </c>
      <c r="C15" s="528">
        <f>B15/(1+Parâmetros!E11)</f>
        <v>1693123.0089823382</v>
      </c>
      <c r="D15" s="617"/>
      <c r="E15" s="405">
        <f>B15/RCL!B13</f>
        <v>0.05754081278020171</v>
      </c>
      <c r="F15" s="528">
        <f>Projeções!H9+Projeções!H109</f>
        <v>1605156.7806411292</v>
      </c>
      <c r="G15" s="248">
        <f>F15/((1+Parâmetros!E11)*(1+Parâmetros!F11))</f>
        <v>1455924.5175883258</v>
      </c>
      <c r="H15" s="617"/>
      <c r="I15" s="405">
        <f>F15/RCL!C13</f>
        <v>0.050971466616173154</v>
      </c>
      <c r="J15" s="528">
        <f>Projeções!I9+Projeções!I109</f>
        <v>1676581.070164386</v>
      </c>
      <c r="K15" s="248">
        <f>J15/((1+Parâmetros!E11)*(1+Parâmetros!F11)*(1+Parâmetros!G11))</f>
        <v>1448293.7653941351</v>
      </c>
      <c r="L15" s="617"/>
      <c r="M15" s="405">
        <f>J15/RCL!D13</f>
        <v>0.051981494981714366</v>
      </c>
    </row>
    <row r="16" spans="1:13" ht="15">
      <c r="A16" s="399" t="s">
        <v>630</v>
      </c>
      <c r="B16" s="528">
        <f>Projeções!G15</f>
        <v>26115.79524396621</v>
      </c>
      <c r="C16" s="528">
        <f>B16/(1+Parâmetros!E11)</f>
        <v>24872.185946634487</v>
      </c>
      <c r="D16" s="617"/>
      <c r="E16" s="405">
        <f>B16/RCL!B13</f>
        <v>0.0008452816407296184</v>
      </c>
      <c r="F16" s="528">
        <f>Projeções!H15</f>
        <v>28107.12463131863</v>
      </c>
      <c r="G16" s="248">
        <f>F16/((1+Parâmetros!E11)*(1+Parâmetros!F11))</f>
        <v>25493.990595300344</v>
      </c>
      <c r="H16" s="617"/>
      <c r="I16" s="405">
        <f>F16/RCL!C13</f>
        <v>0.000892536717970717</v>
      </c>
      <c r="J16" s="528">
        <f>Projeções!I15</f>
        <v>30250.292884456674</v>
      </c>
      <c r="K16" s="248">
        <f>J16/((1+Parâmetros!E11)*(1+Parâmetros!F11)*(1+Parâmetros!G11))</f>
        <v>26131.34036018285</v>
      </c>
      <c r="L16" s="617"/>
      <c r="M16" s="405">
        <f>J16/RCL!D13</f>
        <v>0.0009378940724975488</v>
      </c>
    </row>
    <row r="17" spans="1:13" ht="15">
      <c r="A17" s="398" t="s">
        <v>631</v>
      </c>
      <c r="B17" s="528">
        <f>Projeções!G39+Projeções!G110</f>
        <v>28719831.182499312</v>
      </c>
      <c r="C17" s="528">
        <f>B17/(1+Parâmetros!E11)</f>
        <v>27352220.17380887</v>
      </c>
      <c r="D17" s="617"/>
      <c r="E17" s="405">
        <f>B17/RCL!B13</f>
        <v>0.9295656439575385</v>
      </c>
      <c r="F17" s="528">
        <f>Projeções!H39+Projeções!H110</f>
        <v>29463369.557887238</v>
      </c>
      <c r="G17" s="248">
        <f>F17/((1+Parâmetros!E11)*(1+Parâmetros!F11))</f>
        <v>26724144.723707244</v>
      </c>
      <c r="H17" s="617"/>
      <c r="I17" s="405">
        <f>F17/RCL!C13</f>
        <v>0.9356040331586666</v>
      </c>
      <c r="J17" s="528">
        <f>Projeções!I39+Projeções!I110</f>
        <v>30128128.28820751</v>
      </c>
      <c r="K17" s="248">
        <f>J17/((1+Parâmetros!E11)*(1+Parâmetros!F11)*(1+Parâmetros!G11))</f>
        <v>26025809.988733403</v>
      </c>
      <c r="L17" s="617"/>
      <c r="M17" s="405">
        <f>J17/RCL!D13</f>
        <v>0.9341064248496801</v>
      </c>
    </row>
    <row r="18" spans="1:13" ht="15">
      <c r="A18" s="398" t="s">
        <v>632</v>
      </c>
      <c r="B18" s="528">
        <f>B14-B15-B16-B17</f>
        <v>227757.63738913462</v>
      </c>
      <c r="C18" s="528">
        <f>B18/(1+Parâmetros!E11)</f>
        <v>216912.03560869963</v>
      </c>
      <c r="D18" s="617"/>
      <c r="E18" s="405">
        <f>B18/RCL!B13</f>
        <v>0.007371759030216351</v>
      </c>
      <c r="F18" s="528">
        <f>F14-F15-F16-F17</f>
        <v>239145.51925858855</v>
      </c>
      <c r="G18" s="248">
        <f>F18/((1+Parâmetros!E11)*(1+Parâmetros!F11))</f>
        <v>216912.0356086971</v>
      </c>
      <c r="H18" s="617"/>
      <c r="I18" s="405">
        <f>F18/RCL!C13</f>
        <v>0.007594023212129964</v>
      </c>
      <c r="J18" s="528">
        <f>J14-J15-J16-J17</f>
        <v>251102.79522151127</v>
      </c>
      <c r="K18" s="248">
        <f>J18/((1+Parâmetros!E11)*(1+Parâmetros!F11)*(1+Parâmetros!G11))</f>
        <v>216912.03560869128</v>
      </c>
      <c r="L18" s="617"/>
      <c r="M18" s="405">
        <f>J18/RCL!D13</f>
        <v>0.007785307207614865</v>
      </c>
    </row>
    <row r="19" spans="1:13" ht="15">
      <c r="A19" s="397" t="s">
        <v>633</v>
      </c>
      <c r="B19" s="528">
        <f>'RPrim-Nom'!E18</f>
        <v>21637.32594418386</v>
      </c>
      <c r="C19" s="528">
        <f>B19/(1+Parâmetros!E11)</f>
        <v>20606.977089698914</v>
      </c>
      <c r="D19" s="617"/>
      <c r="E19" s="405">
        <f>B19/RCL!B13</f>
        <v>0.0007003284489039982</v>
      </c>
      <c r="F19" s="528">
        <f>'RPrim-Nom'!F18</f>
        <v>22719.192241393048</v>
      </c>
      <c r="G19" s="248">
        <f>F19/((1+Parâmetros!E11)*(1+Parâmetros!F11))</f>
        <v>20606.97708969891</v>
      </c>
      <c r="H19" s="617"/>
      <c r="I19" s="405">
        <f>F19/RCL!C13</f>
        <v>0.0007214438881266458</v>
      </c>
      <c r="J19" s="528">
        <f>'RPrim-Nom'!G18</f>
        <v>23855.151853462703</v>
      </c>
      <c r="K19" s="248">
        <f>J19/((1+Parâmetros!E11)*(1+Parâmetros!F11)*(1+Parâmetros!G11))</f>
        <v>20606.97708969891</v>
      </c>
      <c r="L19" s="617"/>
      <c r="M19" s="405">
        <f>J19/RCL!D13</f>
        <v>0.0007396161619773168</v>
      </c>
    </row>
    <row r="20" spans="1:13" ht="15">
      <c r="A20" s="396" t="s">
        <v>68</v>
      </c>
      <c r="B20" s="528">
        <f>'RPrim-Nom'!E23+'RPrim-Nom'!E27+'RPrim-Nom'!E34</f>
        <v>33917606.17891009</v>
      </c>
      <c r="C20" s="528">
        <f>B20/(1+Parâmetros!E11)</f>
        <v>32302482.075152468</v>
      </c>
      <c r="D20" s="617"/>
      <c r="E20" s="405">
        <f>B20/RCL!B13</f>
        <v>1.0978003745512617</v>
      </c>
      <c r="F20" s="528">
        <f>'RPrim-Nom'!F23+'RPrim-Nom'!F27+'RPrim-Nom'!F34</f>
        <v>31514000.24028987</v>
      </c>
      <c r="G20" s="248">
        <f>F20/((1+Parâmetros!E11)*(1+Parâmetros!F11))</f>
        <v>28584127.20207698</v>
      </c>
      <c r="H20" s="617"/>
      <c r="I20" s="405">
        <f>F20/RCL!C13</f>
        <v>1.0007214438881267</v>
      </c>
      <c r="J20" s="528">
        <f>'RPrim-Nom'!G23+'RPrim-Nom'!G27+'RPrim-Nom'!G34</f>
        <v>32277276.696465842</v>
      </c>
      <c r="K20" s="248">
        <f>J20/((1+Parâmetros!E11)*(1+Parâmetros!F11)*(1+Parâmetros!G11))</f>
        <v>27882325.188611027</v>
      </c>
      <c r="L20" s="617"/>
      <c r="M20" s="405">
        <f>J20/RCL!D13</f>
        <v>1.0007396161619777</v>
      </c>
    </row>
    <row r="21" spans="1:13" ht="15">
      <c r="A21" s="396" t="s">
        <v>686</v>
      </c>
      <c r="B21" s="528">
        <f>B22+B25+B26+B27</f>
        <v>32571524.831173602</v>
      </c>
      <c r="C21" s="528">
        <f>B21/(1+Parâmetros!E11)</f>
        <v>31020499.839212954</v>
      </c>
      <c r="D21" s="617"/>
      <c r="E21" s="405">
        <f>B21/RCL!B13</f>
        <v>1.054232187577016</v>
      </c>
      <c r="F21" s="528">
        <f>F22+F25+F26+F27</f>
        <v>30100614.82516655</v>
      </c>
      <c r="G21" s="248">
        <f>F21/((1+Parâmetros!E11)*(1+Parâmetros!F11))</f>
        <v>27302144.966137458</v>
      </c>
      <c r="H21" s="617"/>
      <c r="I21" s="405">
        <f>F21/RCL!C13</f>
        <v>0.9558396427010991</v>
      </c>
      <c r="J21" s="528">
        <f>J22+J25+J26+J27</f>
        <v>30793222.01058636</v>
      </c>
      <c r="K21" s="248">
        <f>J21/((1+Parâmetros!E11)*(1+Parâmetros!F11)*(1+Parâmetros!G11))</f>
        <v>26600342.95267151</v>
      </c>
      <c r="L21" s="617"/>
      <c r="M21" s="405">
        <f>J21/RCL!D13</f>
        <v>0.9547272982493876</v>
      </c>
    </row>
    <row r="22" spans="1:13" ht="15">
      <c r="A22" s="397" t="s">
        <v>685</v>
      </c>
      <c r="B22" s="528">
        <f>B23+B24</f>
        <v>27351560.775037013</v>
      </c>
      <c r="C22" s="528">
        <f>B22/(1+Parâmetros!E11)</f>
        <v>26049105.50003525</v>
      </c>
      <c r="D22" s="617"/>
      <c r="E22" s="405">
        <f>B22/RCL!B13</f>
        <v>0.8852792707425114</v>
      </c>
      <c r="F22" s="528">
        <f>F23+F24</f>
        <v>30804346.87615468</v>
      </c>
      <c r="G22" s="248">
        <f>F22/((1+Parâmetros!E11)*(1+Parâmetros!F11))</f>
        <v>27940450.681319438</v>
      </c>
      <c r="H22" s="617"/>
      <c r="I22" s="405">
        <f>F22/RCL!C13</f>
        <v>0.9781865281743956</v>
      </c>
      <c r="J22" s="528">
        <f>J23+J24</f>
        <v>35235499.31798345</v>
      </c>
      <c r="K22" s="248">
        <f>J22/((1+Parâmetros!E11)*(1+Parâmetros!F11)*(1+Parâmetros!G11))</f>
        <v>30437749.113904282</v>
      </c>
      <c r="L22" s="617"/>
      <c r="M22" s="405">
        <f>J22/RCL!D13</f>
        <v>1.0924577186096773</v>
      </c>
    </row>
    <row r="23" spans="1:13" ht="15" customHeight="1">
      <c r="A23" s="399" t="s">
        <v>634</v>
      </c>
      <c r="B23" s="528">
        <f>Projeções!G123-Projeções!G127-Projeções!G128</f>
        <v>17048307.43</v>
      </c>
      <c r="C23" s="528">
        <f>B23/(1+Parâmetros!E11)</f>
        <v>16236483.266666666</v>
      </c>
      <c r="D23" s="618"/>
      <c r="E23" s="405">
        <f>B23/RCL!B13</f>
        <v>0.5517971458067228</v>
      </c>
      <c r="F23" s="528">
        <f>Projeções!H123-Projeções!H127-Projeções!H128</f>
        <v>19776320.757257167</v>
      </c>
      <c r="G23" s="248">
        <f>F23/((1+Parâmetros!E11)*(1+Parâmetros!F11))</f>
        <v>17937705.902274072</v>
      </c>
      <c r="H23" s="618"/>
      <c r="I23" s="405">
        <f>F23/RCL!C13</f>
        <v>0.6279935302435945</v>
      </c>
      <c r="J23" s="528">
        <f>Projeções!I123-Projeções!I127-Projeções!I128</f>
        <v>22933786.15567112</v>
      </c>
      <c r="K23" s="248">
        <f>J23/((1+Parâmetros!E11)*(1+Parâmetros!F11)*(1+Parâmetros!G11))</f>
        <v>19811066.757949352</v>
      </c>
      <c r="L23" s="618"/>
      <c r="M23" s="405">
        <f>J23/RCL!D13</f>
        <v>0.7110497137164039</v>
      </c>
    </row>
    <row r="24" spans="1:13" ht="15">
      <c r="A24" s="399" t="s">
        <v>646</v>
      </c>
      <c r="B24" s="528">
        <f>Projeções!G135-Projeções!G139-Projeções!G140</f>
        <v>10303253.345037011</v>
      </c>
      <c r="C24" s="528">
        <f>B24/(1+Parâmetros!E11)</f>
        <v>9812622.233368581</v>
      </c>
      <c r="D24" s="618"/>
      <c r="E24" s="405">
        <f>B24/RCL!B13</f>
        <v>0.3334821249357886</v>
      </c>
      <c r="F24" s="528">
        <f>Projeções!H135-Projeções!H139-Projeções!H140</f>
        <v>11028026.118897513</v>
      </c>
      <c r="G24" s="248">
        <f>F24/((1+Parâmetros!E11)*(1+Parâmetros!F11))</f>
        <v>10002744.779045362</v>
      </c>
      <c r="H24" s="618"/>
      <c r="I24" s="405">
        <f>F24/RCL!C13</f>
        <v>0.350192997930801</v>
      </c>
      <c r="J24" s="528">
        <f>Projeções!I135-Projeções!I139-Projeções!I140</f>
        <v>12301713.162312327</v>
      </c>
      <c r="K24" s="248">
        <f>J24/((1+Parâmetros!E11)*(1+Parâmetros!F11)*(1+Parâmetros!G11))</f>
        <v>10626682.35595493</v>
      </c>
      <c r="L24" s="618"/>
      <c r="M24" s="405">
        <f>J24/RCL!D13</f>
        <v>0.3814080048932735</v>
      </c>
    </row>
    <row r="25" spans="1:13" ht="15">
      <c r="A25" s="400" t="s">
        <v>635</v>
      </c>
      <c r="B25" s="528">
        <f>Projeções!G142-Projeções!G146-Projeções!G147+Projeções!G150+Projeções!G151</f>
        <v>3529332.292489557</v>
      </c>
      <c r="C25" s="528">
        <f>B25/(1+Parâmetros!E11)</f>
        <v>3361268.849990054</v>
      </c>
      <c r="D25" s="618"/>
      <c r="E25" s="405">
        <f>B25/RCL!B13</f>
        <v>0.11423277610375868</v>
      </c>
      <c r="F25" s="528">
        <f>Projeções!H142-Projeções!H146-Projeções!H147+Projeções!H150+Projeções!H151</f>
        <v>5802718.529813874</v>
      </c>
      <c r="G25" s="248">
        <f>F25/((1+Parâmetros!E11)*(1+Parâmetros!F11))</f>
        <v>5263236.761735939</v>
      </c>
      <c r="H25" s="618"/>
      <c r="I25" s="405">
        <f>F25/RCL!C13</f>
        <v>0.18426428956511026</v>
      </c>
      <c r="J25" s="528">
        <f>Projeções!I142-Projeções!I146-Projeções!I147+Projeções!I150+Projeções!I151</f>
        <v>10869611.084767468</v>
      </c>
      <c r="K25" s="248">
        <f>J25/((1+Parâmetros!E11)*(1+Parâmetros!F11)*(1+Parâmetros!G11))</f>
        <v>9389578.73643664</v>
      </c>
      <c r="L25" s="618"/>
      <c r="M25" s="405">
        <f>J25/RCL!D13</f>
        <v>0.33700644967954213</v>
      </c>
    </row>
    <row r="26" spans="1:13" ht="15">
      <c r="A26" s="400" t="s">
        <v>636</v>
      </c>
      <c r="B26" s="528">
        <f>Projeções!G127+Projeções!G139+Projeções!G146+Projeções!G152</f>
        <v>0</v>
      </c>
      <c r="C26" s="528">
        <f>B26/(1+Parâmetros!E11)</f>
        <v>0</v>
      </c>
      <c r="D26" s="618"/>
      <c r="E26" s="405">
        <f>B26/RCL!B13</f>
        <v>0</v>
      </c>
      <c r="F26" s="528">
        <f>Projeções!H127+Projeções!H139+Projeções!H146+Projeções!H152</f>
        <v>0</v>
      </c>
      <c r="G26" s="248">
        <f>F26/((1+Parâmetros!E11)*(1+Parâmetros!F11))</f>
        <v>0</v>
      </c>
      <c r="H26" s="618"/>
      <c r="I26" s="405">
        <f>F26/RCL!C13</f>
        <v>0</v>
      </c>
      <c r="J26" s="528">
        <f>Projeções!I127+Projeções!I139+Projeções!I146+Projeções!I152</f>
        <v>0</v>
      </c>
      <c r="K26" s="248">
        <f>J26/((1+Parâmetros!E11)*(1+Parâmetros!F11)*(1+Parâmetros!G11))</f>
        <v>0</v>
      </c>
      <c r="L26" s="618"/>
      <c r="M26" s="405">
        <f>J26/RCL!D13</f>
        <v>0</v>
      </c>
    </row>
    <row r="27" spans="1:13" ht="15">
      <c r="A27" s="400" t="s">
        <v>684</v>
      </c>
      <c r="B27" s="528">
        <f>Projeções!G160+Projeções!G161</f>
        <v>1690631.763647031</v>
      </c>
      <c r="C27" s="528">
        <f>B27/(1+Parâmetros!E11)</f>
        <v>1610125.4891876485</v>
      </c>
      <c r="D27" s="618"/>
      <c r="E27" s="405">
        <f>B27/RCL!B13</f>
        <v>0.054720140730745714</v>
      </c>
      <c r="F27" s="528">
        <f>Projeções!H160+Projeções!H161</f>
        <v>-6506450.580802005</v>
      </c>
      <c r="G27" s="248">
        <f>F27/((1+Parâmetros!E11)*(1+Parâmetros!F11))</f>
        <v>-5901542.476917918</v>
      </c>
      <c r="H27" s="618"/>
      <c r="I27" s="405">
        <f>F27/RCL!C13</f>
        <v>-0.20661117503840673</v>
      </c>
      <c r="J27" s="528">
        <f>Projeções!I160+Projeções!I161</f>
        <v>-15311888.392164558</v>
      </c>
      <c r="K27" s="248">
        <f>J27/((1+Parâmetros!E11)*(1+Parâmetros!F11)*(1+Parâmetros!G11))</f>
        <v>-13226984.897669414</v>
      </c>
      <c r="L27" s="618"/>
      <c r="M27" s="405">
        <f>J27/RCL!D13</f>
        <v>-0.47473687003983195</v>
      </c>
    </row>
    <row r="28" spans="1:13" ht="15">
      <c r="A28" s="396" t="s">
        <v>637</v>
      </c>
      <c r="B28" s="528">
        <f>B13-B21</f>
        <v>-1798403.7306655496</v>
      </c>
      <c r="C28" s="528">
        <f>B28/(1+Parâmetros!E11)</f>
        <v>-1712765.4577767139</v>
      </c>
      <c r="D28" s="618"/>
      <c r="E28" s="405">
        <f>B28/RCL!B13</f>
        <v>-0.05820836171942569</v>
      </c>
      <c r="F28" s="528">
        <f>F13-F21</f>
        <v>1257883.3494931199</v>
      </c>
      <c r="G28" s="248">
        <f>F28/((1+Parâmetros!E11)*(1+Parâmetros!F11))</f>
        <v>1140937.2784518094</v>
      </c>
      <c r="H28" s="618"/>
      <c r="I28" s="405">
        <f>F28/RCL!C13</f>
        <v>0.0399438608919681</v>
      </c>
      <c r="J28" s="528">
        <f>J13-J21</f>
        <v>1316695.5877449699</v>
      </c>
      <c r="K28" s="248">
        <f>J28/((1+Parâmetros!E11)*(1+Parâmetros!F11)*(1+Parâmetros!G11))</f>
        <v>1137411.1545146052</v>
      </c>
      <c r="L28" s="618"/>
      <c r="M28" s="405">
        <f>J28/RCL!D13</f>
        <v>0.0408234390240967</v>
      </c>
    </row>
    <row r="29" spans="1:13" ht="15">
      <c r="A29" s="397" t="s">
        <v>638</v>
      </c>
      <c r="B29" s="528">
        <f>'RPrim-Nom'!E58</f>
        <v>0</v>
      </c>
      <c r="C29" s="528">
        <f>B29/(1+Parâmetros!E11)</f>
        <v>0</v>
      </c>
      <c r="D29" s="618"/>
      <c r="E29" s="405">
        <f>B29/RCL!B13</f>
        <v>0</v>
      </c>
      <c r="F29" s="528">
        <f>'RPrim-Nom'!F58</f>
        <v>0</v>
      </c>
      <c r="G29" s="248">
        <f>F29/((1+Parâmetros!E11)*(1+Parâmetros!F11))</f>
        <v>0</v>
      </c>
      <c r="H29" s="618"/>
      <c r="I29" s="405">
        <f>F29/RCL!C13</f>
        <v>0</v>
      </c>
      <c r="J29" s="528">
        <f>'RPrim-Nom'!G58</f>
        <v>0</v>
      </c>
      <c r="K29" s="248">
        <f>J29/((1+Parâmetros!E11)*(1+Parâmetros!F11)*(1+Parâmetros!G11))</f>
        <v>0</v>
      </c>
      <c r="L29" s="618"/>
      <c r="M29" s="405">
        <f>J29/RCL!D13</f>
        <v>0</v>
      </c>
    </row>
    <row r="30" spans="1:13" ht="18" customHeight="1">
      <c r="A30" s="397" t="s">
        <v>639</v>
      </c>
      <c r="B30" s="528">
        <f>'RPrim-Nom'!E79</f>
        <v>0</v>
      </c>
      <c r="C30" s="528">
        <f>B30/(1+Parâmetros!E11)</f>
        <v>0</v>
      </c>
      <c r="D30" s="618"/>
      <c r="E30" s="405">
        <f>B30/RCL!B13</f>
        <v>0</v>
      </c>
      <c r="F30" s="528">
        <f>'RPrim-Nom'!F79</f>
        <v>0</v>
      </c>
      <c r="G30" s="248">
        <f>F30/((1+Parâmetros!E11)*(1+Parâmetros!F11))</f>
        <v>0</v>
      </c>
      <c r="H30" s="618"/>
      <c r="I30" s="405">
        <f>F30/RCL!C13</f>
        <v>0</v>
      </c>
      <c r="J30" s="528">
        <f>'RPrim-Nom'!G79</f>
        <v>0</v>
      </c>
      <c r="K30" s="248">
        <f>J30/((1+Parâmetros!E11)*(1+Parâmetros!F11)*(1+Parâmetros!G11))</f>
        <v>0</v>
      </c>
      <c r="L30" s="618"/>
      <c r="M30" s="405">
        <f>J30/RCL!D13</f>
        <v>0</v>
      </c>
    </row>
    <row r="31" spans="1:13" ht="15">
      <c r="A31" s="396" t="s">
        <v>640</v>
      </c>
      <c r="B31" s="528">
        <f>B28+B29-B30</f>
        <v>-1798403.7306655496</v>
      </c>
      <c r="C31" s="528">
        <f>B31/(1+Parâmetros!E11)</f>
        <v>-1712765.4577767139</v>
      </c>
      <c r="D31" s="618"/>
      <c r="E31" s="405">
        <f>B31/RCL!B13</f>
        <v>-0.05820836171942569</v>
      </c>
      <c r="F31" s="528">
        <f>F28+F29-F30</f>
        <v>1257883.3494931199</v>
      </c>
      <c r="G31" s="248">
        <f>F31/((1+Parâmetros!E11)*(1+Parâmetros!F11))</f>
        <v>1140937.2784518094</v>
      </c>
      <c r="H31" s="618"/>
      <c r="I31" s="405">
        <f>F31/RCL!C13</f>
        <v>0.0399438608919681</v>
      </c>
      <c r="J31" s="528">
        <f>J28+J29-J30</f>
        <v>1316695.5877449699</v>
      </c>
      <c r="K31" s="248">
        <f>J31/((1+Parâmetros!E11)*(1+Parâmetros!F11)*(1+Parâmetros!G11))</f>
        <v>1137411.1545146052</v>
      </c>
      <c r="L31" s="618"/>
      <c r="M31" s="405">
        <f>J31/RCL!D13</f>
        <v>0.0408234390240967</v>
      </c>
    </row>
    <row r="32" spans="1:13" ht="15">
      <c r="A32" s="396" t="s">
        <v>69</v>
      </c>
      <c r="B32" s="528">
        <f>Dívida!E7</f>
        <v>2557545.8333333335</v>
      </c>
      <c r="C32" s="528">
        <f>B32/(1+Parâmetros!E11)</f>
        <v>2435757.9365079366</v>
      </c>
      <c r="D32" s="618"/>
      <c r="E32" s="405">
        <f>B32/RCL!B13</f>
        <v>0.08277927277518657</v>
      </c>
      <c r="F32" s="528">
        <f>Dívida!F7</f>
        <v>2440775.291111111</v>
      </c>
      <c r="G32" s="248">
        <f>F32/((1+Parâmetros!E11)*(1+Parâmetros!F11))</f>
        <v>2213855.139329806</v>
      </c>
      <c r="H32" s="618"/>
      <c r="I32" s="405">
        <f>F32/RCL!C13</f>
        <v>0.07750638303303849</v>
      </c>
      <c r="J32" s="528">
        <f>Dívida!G7</f>
        <v>2472417.7848148146</v>
      </c>
      <c r="K32" s="248">
        <f>J32/((1+Parâmetros!E11)*(1+Parâmetros!F11)*(1+Parâmetros!G11))</f>
        <v>2135767.441800941</v>
      </c>
      <c r="L32" s="618"/>
      <c r="M32" s="405">
        <f>J32/RCL!D13</f>
        <v>0.0766559845874029</v>
      </c>
    </row>
    <row r="33" spans="1:13" ht="15">
      <c r="A33" s="401" t="s">
        <v>641</v>
      </c>
      <c r="B33" s="528">
        <f>Dívida!E15</f>
        <v>-735109.1000000001</v>
      </c>
      <c r="C33" s="528">
        <f>B33/(1+Parâmetros!E11)</f>
        <v>-700103.9047619049</v>
      </c>
      <c r="D33" s="618"/>
      <c r="E33" s="405">
        <f>B33/RCL!B13</f>
        <v>-0.02379304250008758</v>
      </c>
      <c r="F33" s="528">
        <f>Dívida!F15</f>
        <v>-1084917.6733333333</v>
      </c>
      <c r="G33" s="248">
        <f>F33/((1+Parâmetros!E11)*(1+Parâmetros!F11))</f>
        <v>-984052.3114134542</v>
      </c>
      <c r="H33" s="618"/>
      <c r="I33" s="405">
        <f>F33/RCL!C13</f>
        <v>-0.03445136676650269</v>
      </c>
      <c r="J33" s="528">
        <f>Dívida!G15</f>
        <v>-642886.3511111112</v>
      </c>
      <c r="K33" s="248">
        <f>J33/((1+Parâmetros!E11)*(1+Parâmetros!F11)*(1+Parâmetros!G11))</f>
        <v>-555349.4016724856</v>
      </c>
      <c r="L33" s="618"/>
      <c r="M33" s="405">
        <f>J33/RCL!D13</f>
        <v>-0.01993234578917099</v>
      </c>
    </row>
    <row r="34" spans="1:13" ht="15">
      <c r="A34" s="396" t="s">
        <v>642</v>
      </c>
      <c r="B34" s="528">
        <v>0</v>
      </c>
      <c r="C34" s="528">
        <f>B34/(1+Parâmetros!E11)</f>
        <v>0</v>
      </c>
      <c r="D34" s="618"/>
      <c r="E34" s="405">
        <f>B34/RCL!B13</f>
        <v>0</v>
      </c>
      <c r="F34" s="528">
        <v>0</v>
      </c>
      <c r="G34" s="248">
        <f>F34/((1+Parâmetros!E11)*(1+Parâmetros!F11))</f>
        <v>0</v>
      </c>
      <c r="H34" s="618"/>
      <c r="I34" s="405">
        <f>F34/RCL!C13</f>
        <v>0</v>
      </c>
      <c r="J34" s="528">
        <v>0</v>
      </c>
      <c r="K34" s="248">
        <f>J34/((1+Parâmetros!E11)*(1+Parâmetros!F11)*(1+Parâmetros!G11))</f>
        <v>0</v>
      </c>
      <c r="L34" s="618"/>
      <c r="M34" s="405">
        <f>J34/RCL!D13</f>
        <v>0</v>
      </c>
    </row>
    <row r="35" spans="1:13" ht="15">
      <c r="A35" s="396" t="s">
        <v>643</v>
      </c>
      <c r="B35" s="528">
        <v>0</v>
      </c>
      <c r="C35" s="528">
        <f>B35/(1+Parâmetros!E11)</f>
        <v>0</v>
      </c>
      <c r="D35" s="618"/>
      <c r="E35" s="405">
        <f>B35/RCL!B13</f>
        <v>0</v>
      </c>
      <c r="F35" s="528">
        <v>0</v>
      </c>
      <c r="G35" s="248">
        <f>F35/((1+Parâmetros!E11)*(1+Parâmetros!F11))</f>
        <v>0</v>
      </c>
      <c r="H35" s="618"/>
      <c r="I35" s="405">
        <f>F35/RCL!C13</f>
        <v>0</v>
      </c>
      <c r="J35" s="528">
        <v>0</v>
      </c>
      <c r="K35" s="248">
        <f>J35/((1+Parâmetros!E11)*(1+Parâmetros!F11)*(1+Parâmetros!G11))</f>
        <v>0</v>
      </c>
      <c r="L35" s="618"/>
      <c r="M35" s="405">
        <f>J35/RCL!D13</f>
        <v>0</v>
      </c>
    </row>
    <row r="36" spans="1:13" ht="15">
      <c r="A36" s="401" t="s">
        <v>644</v>
      </c>
      <c r="B36" s="528">
        <f>B34-B35</f>
        <v>0</v>
      </c>
      <c r="C36" s="528">
        <f>B36/(1+Parâmetros!E11)</f>
        <v>0</v>
      </c>
      <c r="D36" s="619"/>
      <c r="E36" s="405">
        <f>B36/RCL!B13</f>
        <v>0</v>
      </c>
      <c r="F36" s="528">
        <f>F34-F35</f>
        <v>0</v>
      </c>
      <c r="G36" s="248">
        <f>F36/((1+Parâmetros!E11)*(1+Parâmetros!F11))</f>
        <v>0</v>
      </c>
      <c r="H36" s="619"/>
      <c r="I36" s="405">
        <f>F36/RCL!C13</f>
        <v>0</v>
      </c>
      <c r="J36" s="528">
        <f>J34-J35</f>
        <v>0</v>
      </c>
      <c r="K36" s="248">
        <f>J36/((1+Parâmetros!E11)*(1+Parâmetros!F11)*(1+Parâmetros!G11))</f>
        <v>0</v>
      </c>
      <c r="L36" s="619"/>
      <c r="M36" s="405">
        <f>J36/RCL!D13</f>
        <v>0</v>
      </c>
    </row>
    <row r="37" spans="1:13" ht="15.75" customHeight="1">
      <c r="A37" s="385" t="s">
        <v>645</v>
      </c>
      <c r="B37" s="402"/>
      <c r="C37" s="402"/>
      <c r="D37" s="402"/>
      <c r="E37" s="402"/>
      <c r="F37" s="402"/>
      <c r="G37" s="402"/>
      <c r="H37" s="402"/>
      <c r="I37" s="402"/>
      <c r="J37" s="402"/>
      <c r="K37" s="402"/>
      <c r="L37" s="402"/>
      <c r="M37" s="402"/>
    </row>
  </sheetData>
  <sheetProtection/>
  <mergeCells count="15">
    <mergeCell ref="A1:L1"/>
    <mergeCell ref="A2:L2"/>
    <mergeCell ref="A3:L3"/>
    <mergeCell ref="A4:L4"/>
    <mergeCell ref="A5:L5"/>
    <mergeCell ref="D12:D36"/>
    <mergeCell ref="A6:L6"/>
    <mergeCell ref="A7:H7"/>
    <mergeCell ref="J7:M7"/>
    <mergeCell ref="A8:A11"/>
    <mergeCell ref="B8:E8"/>
    <mergeCell ref="F8:I8"/>
    <mergeCell ref="J8:M8"/>
    <mergeCell ref="H12:H36"/>
    <mergeCell ref="L12:L36"/>
  </mergeCells>
  <printOptions/>
  <pageMargins left="0.511811024" right="0.511811024" top="0.787401575" bottom="0.787401575" header="0.31496062" footer="0.31496062"/>
  <pageSetup fitToHeight="0" fitToWidth="1" horizontalDpi="600" verticalDpi="600" orientation="portrait" paperSize="9" scale="46" r:id="rId2"/>
  <drawing r:id="rId1"/>
</worksheet>
</file>

<file path=xl/worksheets/sheet8.xml><?xml version="1.0" encoding="utf-8"?>
<worksheet xmlns="http://schemas.openxmlformats.org/spreadsheetml/2006/main" xmlns:r="http://schemas.openxmlformats.org/officeDocument/2006/relationships">
  <dimension ref="A1:J18"/>
  <sheetViews>
    <sheetView zoomScale="90" zoomScaleNormal="90" zoomScaleSheetLayoutView="90" zoomScalePageLayoutView="0" workbookViewId="0" topLeftCell="A1">
      <selection activeCell="A3" sqref="A3:J3"/>
    </sheetView>
  </sheetViews>
  <sheetFormatPr defaultColWidth="9.140625" defaultRowHeight="12.75"/>
  <cols>
    <col min="1" max="1" width="32.7109375" style="13" customWidth="1"/>
    <col min="2" max="2" width="12.140625" style="13" customWidth="1"/>
    <col min="3" max="3" width="13.421875" style="13" customWidth="1"/>
    <col min="4" max="4" width="12.140625" style="13" customWidth="1"/>
    <col min="5" max="6" width="12.8515625" style="13" customWidth="1"/>
    <col min="7" max="7" width="10.7109375" style="13" customWidth="1"/>
    <col min="8" max="8" width="12.8515625" style="13" customWidth="1"/>
    <col min="9" max="9" width="13.140625" style="13" customWidth="1"/>
    <col min="10" max="10" width="10.140625" style="13" customWidth="1"/>
    <col min="11" max="16384" width="9.140625" style="13" customWidth="1"/>
  </cols>
  <sheetData>
    <row r="1" spans="1:10" ht="14.25">
      <c r="A1" s="654" t="str">
        <f>Parâmetros!A7</f>
        <v>Município de Barra do Quaraí</v>
      </c>
      <c r="B1" s="652"/>
      <c r="C1" s="652"/>
      <c r="D1" s="652"/>
      <c r="E1" s="652"/>
      <c r="F1" s="652"/>
      <c r="G1" s="652"/>
      <c r="H1" s="652"/>
      <c r="I1" s="652"/>
      <c r="J1" s="653"/>
    </row>
    <row r="2" spans="1:10" ht="14.25">
      <c r="A2" s="651" t="s">
        <v>36</v>
      </c>
      <c r="B2" s="652"/>
      <c r="C2" s="652"/>
      <c r="D2" s="652"/>
      <c r="E2" s="652"/>
      <c r="F2" s="652"/>
      <c r="G2" s="652"/>
      <c r="H2" s="652"/>
      <c r="I2" s="652"/>
      <c r="J2" s="653"/>
    </row>
    <row r="3" spans="1:10" ht="14.25">
      <c r="A3" s="651" t="s">
        <v>148</v>
      </c>
      <c r="B3" s="652"/>
      <c r="C3" s="652"/>
      <c r="D3" s="652"/>
      <c r="E3" s="652"/>
      <c r="F3" s="652"/>
      <c r="G3" s="652"/>
      <c r="H3" s="652"/>
      <c r="I3" s="652"/>
      <c r="J3" s="653"/>
    </row>
    <row r="4" spans="1:10" ht="15">
      <c r="A4" s="655" t="s">
        <v>451</v>
      </c>
      <c r="B4" s="656"/>
      <c r="C4" s="656"/>
      <c r="D4" s="656"/>
      <c r="E4" s="656"/>
      <c r="F4" s="656"/>
      <c r="G4" s="656"/>
      <c r="H4" s="656"/>
      <c r="I4" s="656"/>
      <c r="J4" s="657"/>
    </row>
    <row r="5" spans="1:10" ht="17.25" customHeight="1">
      <c r="A5" s="651" t="s">
        <v>718</v>
      </c>
      <c r="B5" s="652"/>
      <c r="C5" s="652"/>
      <c r="D5" s="652"/>
      <c r="E5" s="652"/>
      <c r="F5" s="652"/>
      <c r="G5" s="652"/>
      <c r="H5" s="652"/>
      <c r="I5" s="652"/>
      <c r="J5" s="653"/>
    </row>
    <row r="6" spans="1:10" ht="21.75" customHeight="1">
      <c r="A6" s="132"/>
      <c r="B6" s="133"/>
      <c r="C6" s="133"/>
      <c r="D6" s="133"/>
      <c r="E6" s="133"/>
      <c r="F6" s="133"/>
      <c r="G6" s="133"/>
      <c r="H6" s="133"/>
      <c r="I6" s="133"/>
      <c r="J6" s="134"/>
    </row>
    <row r="7" spans="1:10" ht="15">
      <c r="A7" s="645" t="s">
        <v>463</v>
      </c>
      <c r="B7" s="646"/>
      <c r="C7" s="646"/>
      <c r="D7" s="647"/>
      <c r="E7" s="658"/>
      <c r="F7" s="658"/>
      <c r="G7" s="658"/>
      <c r="H7" s="659">
        <v>1</v>
      </c>
      <c r="I7" s="660"/>
      <c r="J7" s="660"/>
    </row>
    <row r="8" spans="1:10" s="14" customFormat="1" ht="14.25">
      <c r="A8" s="639" t="s">
        <v>56</v>
      </c>
      <c r="B8" s="642">
        <f>Parâmetros!E10</f>
        <v>2023</v>
      </c>
      <c r="C8" s="643"/>
      <c r="D8" s="644"/>
      <c r="E8" s="642">
        <f>B8+1</f>
        <v>2024</v>
      </c>
      <c r="F8" s="643"/>
      <c r="G8" s="644"/>
      <c r="H8" s="642">
        <f>E8+1</f>
        <v>2025</v>
      </c>
      <c r="I8" s="643"/>
      <c r="J8" s="644"/>
    </row>
    <row r="9" spans="1:10" ht="15.75" customHeight="1">
      <c r="A9" s="640"/>
      <c r="B9" s="408" t="s">
        <v>57</v>
      </c>
      <c r="C9" s="409" t="s">
        <v>57</v>
      </c>
      <c r="D9" s="409" t="s">
        <v>58</v>
      </c>
      <c r="E9" s="409" t="s">
        <v>57</v>
      </c>
      <c r="F9" s="409" t="s">
        <v>57</v>
      </c>
      <c r="G9" s="409" t="s">
        <v>58</v>
      </c>
      <c r="H9" s="409" t="s">
        <v>57</v>
      </c>
      <c r="I9" s="409" t="s">
        <v>57</v>
      </c>
      <c r="J9" s="410" t="s">
        <v>58</v>
      </c>
    </row>
    <row r="10" spans="1:10" ht="15.75" customHeight="1">
      <c r="A10" s="640"/>
      <c r="B10" s="411" t="s">
        <v>59</v>
      </c>
      <c r="C10" s="412" t="s">
        <v>60</v>
      </c>
      <c r="D10" s="412" t="s">
        <v>61</v>
      </c>
      <c r="E10" s="412" t="s">
        <v>59</v>
      </c>
      <c r="F10" s="412" t="s">
        <v>60</v>
      </c>
      <c r="G10" s="412" t="s">
        <v>62</v>
      </c>
      <c r="H10" s="412" t="s">
        <v>59</v>
      </c>
      <c r="I10" s="412" t="s">
        <v>60</v>
      </c>
      <c r="J10" s="413" t="s">
        <v>63</v>
      </c>
    </row>
    <row r="11" spans="1:10" ht="15.75" customHeight="1">
      <c r="A11" s="641"/>
      <c r="B11" s="414" t="s">
        <v>64</v>
      </c>
      <c r="C11" s="415"/>
      <c r="D11" s="416" t="s">
        <v>65</v>
      </c>
      <c r="E11" s="416" t="s">
        <v>66</v>
      </c>
      <c r="F11" s="415"/>
      <c r="G11" s="416" t="s">
        <v>65</v>
      </c>
      <c r="H11" s="416" t="s">
        <v>67</v>
      </c>
      <c r="I11" s="415"/>
      <c r="J11" s="417" t="s">
        <v>65</v>
      </c>
    </row>
    <row r="12" spans="1:10" ht="14.25" customHeight="1">
      <c r="A12" s="418" t="s">
        <v>142</v>
      </c>
      <c r="B12" s="419">
        <f>Projeções!G17+Projeções!G28+Projeções!G75+Projeções!G100+Projeções!G103</f>
        <v>0</v>
      </c>
      <c r="C12" s="419">
        <f>B12/(1+Parâmetros!E11)</f>
        <v>0</v>
      </c>
      <c r="D12" s="648" t="s">
        <v>621</v>
      </c>
      <c r="E12" s="419">
        <f>Projeções!H17+Projeções!H28+Projeções!H75+Projeções!H100+Projeções!H103</f>
        <v>0</v>
      </c>
      <c r="F12" s="419">
        <f>E12/((1+Parâmetros!E11)*(1+Parâmetros!F11))</f>
        <v>0</v>
      </c>
      <c r="G12" s="648" t="s">
        <v>621</v>
      </c>
      <c r="H12" s="420">
        <f>Projeções!I17+Projeções!I28+Projeções!I75+Projeções!I100+Projeções!I103</f>
        <v>0</v>
      </c>
      <c r="I12" s="420">
        <f>H12/((1+Parâmetros!E11)*(1+Parâmetros!F11)*(1+Parâmetros!G11))</f>
        <v>0</v>
      </c>
      <c r="J12" s="648" t="s">
        <v>621</v>
      </c>
    </row>
    <row r="13" spans="1:10" ht="14.25">
      <c r="A13" s="418" t="s">
        <v>143</v>
      </c>
      <c r="B13" s="421">
        <f>B12-Projeções!G28</f>
        <v>0</v>
      </c>
      <c r="C13" s="421">
        <f>B13/(1+Parâmetros!E11)</f>
        <v>0</v>
      </c>
      <c r="D13" s="649"/>
      <c r="E13" s="421">
        <f>E12-Projeções!H28</f>
        <v>0</v>
      </c>
      <c r="F13" s="421">
        <f>E13/((1+Parâmetros!E11)*(1+Parâmetros!F11))</f>
        <v>0</v>
      </c>
      <c r="G13" s="649"/>
      <c r="H13" s="422">
        <f>H12-Projeções!I28</f>
        <v>0</v>
      </c>
      <c r="I13" s="422">
        <f>H13/((1+Parâmetros!E11)*(1+Parâmetros!F11)*(1+Parâmetros!G11))</f>
        <v>0</v>
      </c>
      <c r="J13" s="649"/>
    </row>
    <row r="14" spans="1:10" ht="14.25">
      <c r="A14" s="418" t="s">
        <v>144</v>
      </c>
      <c r="B14" s="421">
        <f>Projeções!G126+Projeções!G132+Projeções!G138+Projeções!G145+Projeções!G157+Projeções!G161</f>
        <v>0</v>
      </c>
      <c r="C14" s="421">
        <f>B14/(1+Parâmetros!E11)</f>
        <v>0</v>
      </c>
      <c r="D14" s="649"/>
      <c r="E14" s="421">
        <f>Projeções!H126+Projeções!H132+Projeções!H138+Projeções!H145+Projeções!H157+Projeções!H161</f>
        <v>0</v>
      </c>
      <c r="F14" s="421">
        <f>E14/((1+Parâmetros!E11)*(1+Parâmetros!F11))</f>
        <v>0</v>
      </c>
      <c r="G14" s="649"/>
      <c r="H14" s="422">
        <f>Projeções!I126+Projeções!I132+Projeções!I138+Projeções!I145+Projeções!I157+Projeções!I161</f>
        <v>0</v>
      </c>
      <c r="I14" s="422">
        <f>H14/((1+Parâmetros!E11)*(1+Parâmetros!F11)*(1+Parâmetros!G11))</f>
        <v>0</v>
      </c>
      <c r="J14" s="649"/>
    </row>
    <row r="15" spans="1:10" ht="14.25">
      <c r="A15" s="418" t="s">
        <v>145</v>
      </c>
      <c r="B15" s="421">
        <f>B14-Projeções!G132-Projeções!G157</f>
        <v>0</v>
      </c>
      <c r="C15" s="421">
        <f>B15/(1+Parâmetros!E11)</f>
        <v>0</v>
      </c>
      <c r="D15" s="649"/>
      <c r="E15" s="421">
        <f>E14-Projeções!H132-Projeções!H157</f>
        <v>0</v>
      </c>
      <c r="F15" s="421">
        <f>E15/((1+Parâmetros!E11)*(1+Parâmetros!F11))</f>
        <v>0</v>
      </c>
      <c r="G15" s="649"/>
      <c r="H15" s="422">
        <f>H14-Projeções!I132-Projeções!I157</f>
        <v>0</v>
      </c>
      <c r="I15" s="422">
        <f>H15/((1+Parâmetros!E11)*(1+Parâmetros!F11)*(1+Parâmetros!G11))</f>
        <v>0</v>
      </c>
      <c r="J15" s="649"/>
    </row>
    <row r="16" spans="1:10" ht="21.75" customHeight="1">
      <c r="A16" s="418" t="s">
        <v>146</v>
      </c>
      <c r="B16" s="423">
        <f>B13-B15</f>
        <v>0</v>
      </c>
      <c r="C16" s="423">
        <f>C13-C15</f>
        <v>0</v>
      </c>
      <c r="D16" s="650"/>
      <c r="E16" s="423">
        <f>E13-E15</f>
        <v>0</v>
      </c>
      <c r="F16" s="423">
        <f>F13-F15</f>
        <v>0</v>
      </c>
      <c r="G16" s="650"/>
      <c r="H16" s="424">
        <f>H13-H15</f>
        <v>0</v>
      </c>
      <c r="I16" s="424">
        <f>I13-I15</f>
        <v>0</v>
      </c>
      <c r="J16" s="650"/>
    </row>
    <row r="18" spans="1:10" s="136" customFormat="1" ht="15" customHeight="1">
      <c r="A18" s="638" t="s">
        <v>203</v>
      </c>
      <c r="B18" s="638"/>
      <c r="C18" s="638"/>
      <c r="D18" s="638"/>
      <c r="E18" s="638"/>
      <c r="F18" s="638"/>
      <c r="G18" s="638"/>
      <c r="H18" s="638"/>
      <c r="I18" s="638"/>
      <c r="J18" s="638"/>
    </row>
  </sheetData>
  <sheetProtection/>
  <mergeCells count="16">
    <mergeCell ref="A5:J5"/>
    <mergeCell ref="A1:J1"/>
    <mergeCell ref="A2:J2"/>
    <mergeCell ref="A3:J3"/>
    <mergeCell ref="A4:J4"/>
    <mergeCell ref="E7:G7"/>
    <mergeCell ref="H7:J7"/>
    <mergeCell ref="A18:J18"/>
    <mergeCell ref="A8:A11"/>
    <mergeCell ref="B8:D8"/>
    <mergeCell ref="E8:G8"/>
    <mergeCell ref="H8:J8"/>
    <mergeCell ref="A7:D7"/>
    <mergeCell ref="D12:D16"/>
    <mergeCell ref="G12:G16"/>
    <mergeCell ref="J12:J16"/>
  </mergeCells>
  <printOptions/>
  <pageMargins left="0.787401575" right="0.787401575" top="0.984251969" bottom="0.984251969" header="0.492125985" footer="0.492125985"/>
  <pageSetup horizontalDpi="300" verticalDpi="300" orientation="portrait" scale="63" r:id="rId2"/>
  <drawing r:id="rId1"/>
</worksheet>
</file>

<file path=xl/worksheets/sheet9.xml><?xml version="1.0" encoding="utf-8"?>
<worksheet xmlns="http://schemas.openxmlformats.org/spreadsheetml/2006/main" xmlns:r="http://schemas.openxmlformats.org/officeDocument/2006/relationships">
  <sheetPr codeName="Plan12">
    <pageSetUpPr fitToPage="1"/>
  </sheetPr>
  <dimension ref="A1:I21"/>
  <sheetViews>
    <sheetView view="pageBreakPreview" zoomScaleNormal="90" zoomScaleSheetLayoutView="100" zoomScalePageLayoutView="0" workbookViewId="0" topLeftCell="A1">
      <selection activeCell="B17" sqref="B17"/>
    </sheetView>
  </sheetViews>
  <sheetFormatPr defaultColWidth="9.140625" defaultRowHeight="12.75"/>
  <cols>
    <col min="1" max="1" width="20.7109375" style="11" customWidth="1"/>
    <col min="2" max="2" width="17.28125" style="11" customWidth="1"/>
    <col min="3" max="3" width="9.7109375" style="11" customWidth="1"/>
    <col min="4" max="4" width="12.00390625" style="11" customWidth="1"/>
    <col min="5" max="5" width="17.28125" style="11" customWidth="1"/>
    <col min="6" max="6" width="9.7109375" style="11" customWidth="1"/>
    <col min="7" max="7" width="10.57421875" style="11" customWidth="1"/>
    <col min="8" max="8" width="16.8515625" style="11" customWidth="1"/>
    <col min="9" max="9" width="12.140625" style="11" customWidth="1"/>
    <col min="10" max="16384" width="9.140625" style="11" customWidth="1"/>
  </cols>
  <sheetData>
    <row r="1" spans="1:9" ht="12.75">
      <c r="A1" s="681" t="str">
        <f>Parâmetros!A7</f>
        <v>Município de Barra do Quaraí</v>
      </c>
      <c r="B1" s="682"/>
      <c r="C1" s="682"/>
      <c r="D1" s="682"/>
      <c r="E1" s="682"/>
      <c r="F1" s="682"/>
      <c r="G1" s="682"/>
      <c r="H1" s="682"/>
      <c r="I1" s="683"/>
    </row>
    <row r="2" spans="1:9" ht="12.75">
      <c r="A2" s="684" t="s">
        <v>36</v>
      </c>
      <c r="B2" s="682"/>
      <c r="C2" s="682"/>
      <c r="D2" s="682"/>
      <c r="E2" s="682"/>
      <c r="F2" s="682"/>
      <c r="G2" s="682"/>
      <c r="H2" s="682"/>
      <c r="I2" s="683"/>
    </row>
    <row r="3" spans="1:9" ht="12.75">
      <c r="A3" s="684" t="s">
        <v>148</v>
      </c>
      <c r="B3" s="682"/>
      <c r="C3" s="682"/>
      <c r="D3" s="682"/>
      <c r="E3" s="682"/>
      <c r="F3" s="682"/>
      <c r="G3" s="682"/>
      <c r="H3" s="682"/>
      <c r="I3" s="683"/>
    </row>
    <row r="4" spans="1:9" ht="12.75">
      <c r="A4" s="685" t="s">
        <v>709</v>
      </c>
      <c r="B4" s="686"/>
      <c r="C4" s="686"/>
      <c r="D4" s="686"/>
      <c r="E4" s="686"/>
      <c r="F4" s="686"/>
      <c r="G4" s="686"/>
      <c r="H4" s="686"/>
      <c r="I4" s="687"/>
    </row>
    <row r="5" spans="1:9" ht="12.75">
      <c r="A5" s="684" t="s">
        <v>611</v>
      </c>
      <c r="B5" s="682"/>
      <c r="C5" s="682"/>
      <c r="D5" s="682"/>
      <c r="E5" s="682"/>
      <c r="F5" s="682"/>
      <c r="G5" s="682"/>
      <c r="H5" s="682"/>
      <c r="I5" s="683"/>
    </row>
    <row r="6" spans="1:9" ht="12.75">
      <c r="A6" s="684"/>
      <c r="B6" s="682"/>
      <c r="C6" s="682"/>
      <c r="D6" s="682"/>
      <c r="E6" s="682"/>
      <c r="F6" s="682"/>
      <c r="G6" s="682"/>
      <c r="H6" s="682"/>
      <c r="I6" s="683"/>
    </row>
    <row r="7" spans="1:9" ht="12.75" customHeight="1">
      <c r="A7" s="679" t="s">
        <v>462</v>
      </c>
      <c r="B7" s="680"/>
      <c r="C7" s="247"/>
      <c r="D7" s="247"/>
      <c r="E7" s="247"/>
      <c r="F7" s="247"/>
      <c r="G7" s="247"/>
      <c r="H7" s="668">
        <v>1</v>
      </c>
      <c r="I7" s="669"/>
    </row>
    <row r="8" spans="1:9" ht="10.5" customHeight="1">
      <c r="A8" s="670" t="s">
        <v>56</v>
      </c>
      <c r="B8" s="673" t="s">
        <v>112</v>
      </c>
      <c r="C8" s="673" t="s">
        <v>58</v>
      </c>
      <c r="D8" s="673" t="s">
        <v>380</v>
      </c>
      <c r="E8" s="673" t="s">
        <v>113</v>
      </c>
      <c r="F8" s="673" t="s">
        <v>58</v>
      </c>
      <c r="G8" s="673" t="s">
        <v>380</v>
      </c>
      <c r="H8" s="675" t="s">
        <v>70</v>
      </c>
      <c r="I8" s="676"/>
    </row>
    <row r="9" spans="1:9" ht="12.75" customHeight="1">
      <c r="A9" s="671"/>
      <c r="B9" s="674"/>
      <c r="C9" s="674"/>
      <c r="D9" s="674"/>
      <c r="E9" s="674"/>
      <c r="F9" s="674"/>
      <c r="G9" s="674"/>
      <c r="H9" s="677"/>
      <c r="I9" s="678"/>
    </row>
    <row r="10" spans="1:9" ht="22.5" customHeight="1">
      <c r="A10" s="672"/>
      <c r="B10" s="287">
        <v>2021</v>
      </c>
      <c r="C10" s="688"/>
      <c r="D10" s="688"/>
      <c r="E10" s="288" t="s">
        <v>710</v>
      </c>
      <c r="F10" s="688"/>
      <c r="G10" s="688"/>
      <c r="H10" s="289" t="s">
        <v>114</v>
      </c>
      <c r="I10" s="286" t="s">
        <v>71</v>
      </c>
    </row>
    <row r="11" spans="1:9" ht="12.75">
      <c r="A11" s="285" t="s">
        <v>39</v>
      </c>
      <c r="B11" s="539">
        <v>23112012.12</v>
      </c>
      <c r="C11" s="664" t="s">
        <v>593</v>
      </c>
      <c r="D11" s="319">
        <f>B11/D21</f>
        <v>231.1201212</v>
      </c>
      <c r="E11" s="290">
        <f>Projeções!E114-Projeções!E102-Projeções!E105</f>
        <v>27457102.159999996</v>
      </c>
      <c r="F11" s="664" t="s">
        <v>593</v>
      </c>
      <c r="G11" s="319">
        <f>E11/D21</f>
        <v>274.57102159999994</v>
      </c>
      <c r="H11" s="320">
        <f aca="true" t="shared" si="0" ref="H11:H18">E11-B11</f>
        <v>4345090.039999995</v>
      </c>
      <c r="I11" s="321">
        <f aca="true" t="shared" si="1" ref="I11:I18">IF(B11=0,"-",(H11/B11))</f>
        <v>0.18800137423950067</v>
      </c>
    </row>
    <row r="12" spans="1:9" ht="12.75">
      <c r="A12" s="285" t="s">
        <v>119</v>
      </c>
      <c r="B12" s="539">
        <v>23095887.55</v>
      </c>
      <c r="C12" s="665"/>
      <c r="D12" s="319">
        <f>B12/D21</f>
        <v>230.9588755</v>
      </c>
      <c r="E12" s="290">
        <f>E11-Projeções!E25-Projeções!E82-Projeções!E85-Projeções!E90</f>
        <v>27046994.469999995</v>
      </c>
      <c r="F12" s="665"/>
      <c r="G12" s="319">
        <f>E12/D21</f>
        <v>270.4699446999999</v>
      </c>
      <c r="H12" s="320">
        <f t="shared" si="0"/>
        <v>3951106.9199999943</v>
      </c>
      <c r="I12" s="321">
        <f t="shared" si="1"/>
        <v>0.17107404560427877</v>
      </c>
    </row>
    <row r="13" spans="1:9" ht="12.75">
      <c r="A13" s="285" t="s">
        <v>40</v>
      </c>
      <c r="B13" s="539">
        <v>23112012.12</v>
      </c>
      <c r="C13" s="665"/>
      <c r="D13" s="319">
        <f>B13/D21</f>
        <v>231.1201212</v>
      </c>
      <c r="E13" s="290">
        <f>Projeções!E162-Projeções!E128-Projeções!E134-Projeções!E140-Projeções!E147-Projeções!E153-Projeções!E159</f>
        <v>24943900.95</v>
      </c>
      <c r="F13" s="665"/>
      <c r="G13" s="319">
        <f>E13/D21</f>
        <v>249.4390095</v>
      </c>
      <c r="H13" s="320">
        <f t="shared" si="0"/>
        <v>1831888.8299999982</v>
      </c>
      <c r="I13" s="321">
        <f t="shared" si="1"/>
        <v>0.07926133044966567</v>
      </c>
    </row>
    <row r="14" spans="1:9" ht="12.75">
      <c r="A14" s="285" t="s">
        <v>120</v>
      </c>
      <c r="B14" s="539">
        <v>20377261.58</v>
      </c>
      <c r="C14" s="665"/>
      <c r="D14" s="319">
        <f>B14/D21</f>
        <v>203.77261579999998</v>
      </c>
      <c r="E14" s="290">
        <f>E13-Projeções!E129-Projeções!E154-Projeções!E149</f>
        <v>23965948.14</v>
      </c>
      <c r="F14" s="665"/>
      <c r="G14" s="319">
        <f>E14/D21</f>
        <v>239.6594814</v>
      </c>
      <c r="H14" s="320">
        <f t="shared" si="0"/>
        <v>3588686.5600000024</v>
      </c>
      <c r="I14" s="321">
        <f t="shared" si="1"/>
        <v>0.17611230762833455</v>
      </c>
    </row>
    <row r="15" spans="1:9" ht="25.5">
      <c r="A15" s="285" t="s">
        <v>72</v>
      </c>
      <c r="B15" s="318">
        <f>B12-B14</f>
        <v>2718625.9700000025</v>
      </c>
      <c r="C15" s="665"/>
      <c r="D15" s="319">
        <f>B15/D21</f>
        <v>27.186259700000026</v>
      </c>
      <c r="E15" s="318">
        <f>E12-E14</f>
        <v>3081046.3299999945</v>
      </c>
      <c r="F15" s="665"/>
      <c r="G15" s="319">
        <f>E15/D21</f>
        <v>30.810463299999945</v>
      </c>
      <c r="H15" s="320">
        <f t="shared" si="0"/>
        <v>362420.35999999195</v>
      </c>
      <c r="I15" s="321">
        <f t="shared" si="1"/>
        <v>0.13331012209818316</v>
      </c>
    </row>
    <row r="16" spans="1:9" ht="15" customHeight="1">
      <c r="A16" s="285" t="s">
        <v>37</v>
      </c>
      <c r="B16" s="249">
        <v>1005130.55</v>
      </c>
      <c r="C16" s="665"/>
      <c r="D16" s="319">
        <f>B16/D21</f>
        <v>10.0513055</v>
      </c>
      <c r="E16" s="290">
        <v>3345140.11</v>
      </c>
      <c r="F16" s="665"/>
      <c r="G16" s="319">
        <f>E16/D21</f>
        <v>33.4514011</v>
      </c>
      <c r="H16" s="320">
        <f t="shared" si="0"/>
        <v>2340009.5599999996</v>
      </c>
      <c r="I16" s="321">
        <f t="shared" si="1"/>
        <v>2.3280653045517314</v>
      </c>
    </row>
    <row r="17" spans="1:9" ht="27" customHeight="1">
      <c r="A17" s="285" t="s">
        <v>73</v>
      </c>
      <c r="B17" s="249">
        <v>2907857.46</v>
      </c>
      <c r="C17" s="665"/>
      <c r="D17" s="319">
        <f>B17/D21</f>
        <v>29.0785746</v>
      </c>
      <c r="E17" s="290">
        <v>2345847.81</v>
      </c>
      <c r="F17" s="665"/>
      <c r="G17" s="319">
        <f>E17/D21</f>
        <v>23.4584781</v>
      </c>
      <c r="H17" s="320">
        <f t="shared" si="0"/>
        <v>-562009.6499999999</v>
      </c>
      <c r="I17" s="321">
        <f t="shared" si="1"/>
        <v>-0.1932727644772519</v>
      </c>
    </row>
    <row r="18" spans="1:9" ht="28.5" customHeight="1">
      <c r="A18" s="285" t="s">
        <v>74</v>
      </c>
      <c r="B18" s="249">
        <v>308440.79</v>
      </c>
      <c r="C18" s="666"/>
      <c r="D18" s="319">
        <f>B18/D21</f>
        <v>3.0844079</v>
      </c>
      <c r="E18" s="290">
        <v>314316.62</v>
      </c>
      <c r="F18" s="666"/>
      <c r="G18" s="319">
        <f>E18/D21</f>
        <v>3.1431662</v>
      </c>
      <c r="H18" s="320">
        <f t="shared" si="0"/>
        <v>5875.830000000016</v>
      </c>
      <c r="I18" s="321">
        <f t="shared" si="1"/>
        <v>0.01905010682925568</v>
      </c>
    </row>
    <row r="19" spans="1:9" ht="12.75">
      <c r="A19" s="667" t="s">
        <v>204</v>
      </c>
      <c r="B19" s="667"/>
      <c r="C19" s="667"/>
      <c r="D19" s="667"/>
      <c r="E19" s="667"/>
      <c r="F19" s="667"/>
      <c r="G19" s="667"/>
      <c r="H19" s="667"/>
      <c r="I19" s="667"/>
    </row>
    <row r="20" spans="1:9" ht="12.75">
      <c r="A20" s="425"/>
      <c r="B20" s="425"/>
      <c r="C20" s="425"/>
      <c r="D20" s="425"/>
      <c r="E20" s="425"/>
      <c r="F20" s="425"/>
      <c r="G20" s="425"/>
      <c r="H20" s="425"/>
      <c r="I20" s="425"/>
    </row>
    <row r="21" spans="1:9" ht="12.75">
      <c r="A21" s="661" t="s">
        <v>708</v>
      </c>
      <c r="B21" s="662"/>
      <c r="C21" s="663"/>
      <c r="D21" s="426">
        <v>100000</v>
      </c>
      <c r="E21" s="425"/>
      <c r="F21" s="425"/>
      <c r="G21" s="425"/>
      <c r="H21" s="425"/>
      <c r="I21" s="425"/>
    </row>
  </sheetData>
  <sheetProtection/>
  <mergeCells count="20">
    <mergeCell ref="A1:I1"/>
    <mergeCell ref="A2:I2"/>
    <mergeCell ref="A3:I3"/>
    <mergeCell ref="A4:I4"/>
    <mergeCell ref="C8:C10"/>
    <mergeCell ref="F8:F10"/>
    <mergeCell ref="D8:D10"/>
    <mergeCell ref="G8:G10"/>
    <mergeCell ref="A5:I5"/>
    <mergeCell ref="A6:I6"/>
    <mergeCell ref="A21:C21"/>
    <mergeCell ref="C11:C18"/>
    <mergeCell ref="F11:F18"/>
    <mergeCell ref="A19:I19"/>
    <mergeCell ref="H7:I7"/>
    <mergeCell ref="A8:A10"/>
    <mergeCell ref="B8:B9"/>
    <mergeCell ref="E8:E9"/>
    <mergeCell ref="H8:I9"/>
    <mergeCell ref="A7:B7"/>
  </mergeCells>
  <printOptions/>
  <pageMargins left="0.787401575" right="0.787401575" top="0.984251969" bottom="0.984251969" header="0.492125985" footer="0.492125985"/>
  <pageSetup fitToHeight="0" fitToWidth="1"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Usuário do Windows</cp:lastModifiedBy>
  <cp:lastPrinted>2022-09-21T13:37:30Z</cp:lastPrinted>
  <dcterms:created xsi:type="dcterms:W3CDTF">2000-07-04T17:38:30Z</dcterms:created>
  <dcterms:modified xsi:type="dcterms:W3CDTF">2022-11-07T14:26:02Z</dcterms:modified>
  <cp:category/>
  <cp:version/>
  <cp:contentType/>
  <cp:contentStatus/>
</cp:coreProperties>
</file>